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C:\Users\james\Dropbox\Work\"/>
    </mc:Choice>
  </mc:AlternateContent>
  <xr:revisionPtr revIDLastSave="0" documentId="13_ncr:1_{14631AF2-C66E-487E-8AAB-D4FCD01B1CF2}" xr6:coauthVersionLast="47" xr6:coauthVersionMax="47" xr10:uidLastSave="{00000000-0000-0000-0000-000000000000}"/>
  <bookViews>
    <workbookView xWindow="-120" yWindow="-120" windowWidth="38640" windowHeight="21120" tabRatio="648" firstSheet="2" activeTab="2" xr2:uid="{FCE705E9-6E7C-4302-9E17-B88B88A5F893}"/>
  </bookViews>
  <sheets>
    <sheet name="Full costs" sheetId="10" state="hidden" r:id="rId1"/>
    <sheet name="SUMMARY" sheetId="3" state="hidden" r:id="rId2"/>
    <sheet name="Cash Burn Monthly" sheetId="5" r:id="rId3"/>
    <sheet name="Expansion timeline" sheetId="9" state="hidden" r:id="rId4"/>
    <sheet name="Costs" sheetId="1" r:id="rId5"/>
    <sheet name="Education Income" sheetId="4" state="hidden" r:id="rId6"/>
    <sheet name="Production Income" sheetId="6" state="hidden" r:id="rId7"/>
    <sheet name="FTE cost calcs" sheetId="2" r:id="rId8"/>
    <sheet name="Commercial rates" sheetId="7" state="hidden" r:id="rId9"/>
    <sheet name="Quote Page" sheetId="8" state="hidden" r:id="rId10"/>
  </sheets>
  <definedNames>
    <definedName name="_xlnm.Print_Area" localSheetId="9">'Quote Page'!$A$1:$G$18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 i="5" l="1"/>
  <c r="E15" i="5"/>
  <c r="E14" i="5"/>
  <c r="E16" i="5" s="1"/>
  <c r="H10" i="5"/>
  <c r="G10" i="5"/>
  <c r="D10" i="5"/>
  <c r="E10" i="5"/>
  <c r="F10" i="5"/>
  <c r="C10" i="5"/>
  <c r="E4" i="5"/>
  <c r="D4" i="5"/>
  <c r="C4" i="5"/>
  <c r="C5" i="5" s="1"/>
  <c r="L4" i="1"/>
  <c r="M4" i="1"/>
  <c r="O4" i="1" s="1"/>
  <c r="N4" i="1"/>
  <c r="Z4" i="1"/>
  <c r="AA4" i="1"/>
  <c r="L5" i="1"/>
  <c r="M5" i="1"/>
  <c r="N5" i="1" s="1"/>
  <c r="P5" i="1"/>
  <c r="Q5" i="1"/>
  <c r="R5" i="1"/>
  <c r="S5" i="1"/>
  <c r="T5" i="1"/>
  <c r="U5" i="1"/>
  <c r="V5" i="1" s="1"/>
  <c r="Z5" i="1"/>
  <c r="AA5" i="1"/>
  <c r="L6" i="1"/>
  <c r="N6" i="1"/>
  <c r="O6" i="1"/>
  <c r="P6" i="1"/>
  <c r="Q6" i="1"/>
  <c r="R6" i="1"/>
  <c r="S6" i="1"/>
  <c r="T6" i="1" s="1"/>
  <c r="Z6" i="1"/>
  <c r="AA6" i="1"/>
  <c r="L7" i="1"/>
  <c r="M7" i="1"/>
  <c r="N7" i="1"/>
  <c r="O7" i="1"/>
  <c r="Q7" i="1" s="1"/>
  <c r="P7" i="1"/>
  <c r="Z7" i="1"/>
  <c r="AA7" i="1"/>
  <c r="E45" i="1" s="1"/>
  <c r="G45" i="1" s="1"/>
  <c r="I45" i="1" s="1"/>
  <c r="K45" i="1" s="1"/>
  <c r="M45" i="1" s="1"/>
  <c r="O45" i="1" s="1"/>
  <c r="Q45" i="1" s="1"/>
  <c r="S45" i="1" s="1"/>
  <c r="U45" i="1" s="1"/>
  <c r="W45" i="1" s="1"/>
  <c r="Y45" i="1" s="1"/>
  <c r="AA45" i="1" s="1"/>
  <c r="AB45" i="1" s="1"/>
  <c r="L8" i="1"/>
  <c r="L11" i="1" s="1"/>
  <c r="M8" i="1"/>
  <c r="N8" i="1" s="1"/>
  <c r="Z8" i="1"/>
  <c r="Z11" i="1" s="1"/>
  <c r="AA8" i="1"/>
  <c r="L9" i="1"/>
  <c r="M9" i="1"/>
  <c r="N9" i="1" s="1"/>
  <c r="O9" i="1"/>
  <c r="P9" i="1" s="1"/>
  <c r="Z9" i="1"/>
  <c r="AA9" i="1"/>
  <c r="L10" i="1"/>
  <c r="M10" i="1"/>
  <c r="N10" i="1" s="1"/>
  <c r="O10" i="1"/>
  <c r="P10" i="1"/>
  <c r="Q10" i="1"/>
  <c r="R10" i="1"/>
  <c r="S10" i="1"/>
  <c r="T10" i="1" s="1"/>
  <c r="Z10" i="1"/>
  <c r="AA10" i="1"/>
  <c r="K11" i="1"/>
  <c r="L15" i="1" s="1"/>
  <c r="Y11" i="1"/>
  <c r="AA11" i="1"/>
  <c r="L13" i="1"/>
  <c r="N13" i="1"/>
  <c r="P13" i="1"/>
  <c r="R13" i="1"/>
  <c r="T13" i="1"/>
  <c r="V13" i="1"/>
  <c r="X13" i="1"/>
  <c r="L14" i="1"/>
  <c r="L19" i="1" s="1"/>
  <c r="N14" i="1"/>
  <c r="P14" i="1"/>
  <c r="R14" i="1"/>
  <c r="T14" i="1"/>
  <c r="V14" i="1"/>
  <c r="X14" i="1"/>
  <c r="L16" i="1"/>
  <c r="N16" i="1"/>
  <c r="P16" i="1"/>
  <c r="R16" i="1"/>
  <c r="T16" i="1"/>
  <c r="V16" i="1"/>
  <c r="X16" i="1"/>
  <c r="L17" i="1"/>
  <c r="N17" i="1"/>
  <c r="P17" i="1"/>
  <c r="R17" i="1"/>
  <c r="T17" i="1"/>
  <c r="V17" i="1"/>
  <c r="X17" i="1"/>
  <c r="L18" i="1"/>
  <c r="Z19" i="1"/>
  <c r="L21" i="1"/>
  <c r="N21" i="1"/>
  <c r="P21" i="1"/>
  <c r="P29" i="1" s="1"/>
  <c r="R21" i="1"/>
  <c r="T21" i="1"/>
  <c r="V21" i="1"/>
  <c r="X21" i="1"/>
  <c r="L22" i="1"/>
  <c r="L29" i="1" s="1"/>
  <c r="N22" i="1"/>
  <c r="N29" i="1" s="1"/>
  <c r="P22" i="1"/>
  <c r="R22" i="1"/>
  <c r="T22" i="1"/>
  <c r="V22" i="1"/>
  <c r="X22" i="1"/>
  <c r="L23" i="1"/>
  <c r="N23" i="1"/>
  <c r="P23" i="1"/>
  <c r="R23" i="1"/>
  <c r="R29" i="1" s="1"/>
  <c r="T23" i="1"/>
  <c r="V23" i="1"/>
  <c r="V29" i="1" s="1"/>
  <c r="X23" i="1"/>
  <c r="X29" i="1" s="1"/>
  <c r="L24" i="1"/>
  <c r="N24" i="1"/>
  <c r="P24" i="1"/>
  <c r="R24" i="1"/>
  <c r="T24" i="1"/>
  <c r="V24" i="1"/>
  <c r="X24" i="1"/>
  <c r="L25" i="1"/>
  <c r="N25" i="1"/>
  <c r="P25" i="1"/>
  <c r="R25" i="1"/>
  <c r="T25" i="1"/>
  <c r="T29" i="1" s="1"/>
  <c r="V25" i="1"/>
  <c r="X25" i="1"/>
  <c r="L26" i="1"/>
  <c r="N26" i="1"/>
  <c r="P26" i="1"/>
  <c r="R26" i="1"/>
  <c r="T26" i="1"/>
  <c r="V26" i="1"/>
  <c r="X26" i="1"/>
  <c r="L27" i="1"/>
  <c r="N27" i="1"/>
  <c r="P27" i="1"/>
  <c r="R27" i="1"/>
  <c r="T27" i="1"/>
  <c r="V27" i="1"/>
  <c r="X27" i="1"/>
  <c r="Z29" i="1"/>
  <c r="AB67" i="1"/>
  <c r="AB57" i="1"/>
  <c r="AB43" i="1"/>
  <c r="AB42" i="1"/>
  <c r="H67" i="1"/>
  <c r="F67" i="1"/>
  <c r="AB29" i="1"/>
  <c r="J27" i="1"/>
  <c r="J26" i="1"/>
  <c r="J25" i="1"/>
  <c r="J24" i="1"/>
  <c r="J23" i="1"/>
  <c r="J22" i="1"/>
  <c r="J21" i="1"/>
  <c r="H27" i="1"/>
  <c r="H26" i="1"/>
  <c r="H25" i="1"/>
  <c r="H24" i="1"/>
  <c r="H23" i="1"/>
  <c r="H22" i="1"/>
  <c r="H21" i="1"/>
  <c r="F22" i="1"/>
  <c r="F23" i="1"/>
  <c r="F24" i="1"/>
  <c r="F25" i="1"/>
  <c r="F26" i="1"/>
  <c r="F27" i="1"/>
  <c r="F21" i="1"/>
  <c r="D7" i="1"/>
  <c r="D8" i="1"/>
  <c r="D46" i="1" s="1"/>
  <c r="D6" i="1"/>
  <c r="F6" i="1" s="1"/>
  <c r="D5" i="1"/>
  <c r="D4" i="1"/>
  <c r="Q27" i="2"/>
  <c r="O27" i="2"/>
  <c r="M27" i="2"/>
  <c r="K27" i="2"/>
  <c r="I27" i="2"/>
  <c r="G27" i="2"/>
  <c r="E27" i="2"/>
  <c r="D9" i="1"/>
  <c r="D8" i="2"/>
  <c r="G8" i="2" s="1"/>
  <c r="S7" i="2"/>
  <c r="T7" i="2" s="1"/>
  <c r="B2" i="2"/>
  <c r="D7" i="2"/>
  <c r="E8" i="2"/>
  <c r="I10" i="2"/>
  <c r="I11" i="2"/>
  <c r="I12" i="2"/>
  <c r="I13" i="2"/>
  <c r="I14" i="2"/>
  <c r="I17" i="2"/>
  <c r="K8" i="2"/>
  <c r="K28" i="2" s="1"/>
  <c r="K29" i="2" s="1"/>
  <c r="K10" i="2"/>
  <c r="K11" i="2"/>
  <c r="K12" i="2"/>
  <c r="K13" i="2"/>
  <c r="K14" i="2"/>
  <c r="K17" i="2"/>
  <c r="Q10" i="2"/>
  <c r="Q28" i="2" s="1"/>
  <c r="Q29" i="2" s="1"/>
  <c r="Q11" i="2"/>
  <c r="Q12" i="2"/>
  <c r="Q13" i="2"/>
  <c r="Q14" i="2"/>
  <c r="Q17" i="2"/>
  <c r="G10" i="2"/>
  <c r="G11" i="2"/>
  <c r="G12" i="2"/>
  <c r="G13" i="2"/>
  <c r="G14" i="2"/>
  <c r="G17" i="2"/>
  <c r="O11" i="2"/>
  <c r="O12" i="2"/>
  <c r="O13" i="2"/>
  <c r="O14" i="2"/>
  <c r="M11" i="2"/>
  <c r="M12" i="2"/>
  <c r="M13" i="2"/>
  <c r="M14" i="2"/>
  <c r="E11" i="2"/>
  <c r="E12" i="2"/>
  <c r="E13" i="2"/>
  <c r="E14" i="2"/>
  <c r="J30" i="2"/>
  <c r="E10" i="2"/>
  <c r="E17" i="2"/>
  <c r="M10" i="2"/>
  <c r="M17" i="2"/>
  <c r="O10" i="2"/>
  <c r="O17" i="2"/>
  <c r="D60" i="1"/>
  <c r="D61" i="1"/>
  <c r="D62" i="1"/>
  <c r="D63" i="1"/>
  <c r="D64" i="1"/>
  <c r="D65" i="1"/>
  <c r="D66" i="1"/>
  <c r="D59" i="1"/>
  <c r="D53" i="1"/>
  <c r="D55" i="1"/>
  <c r="D56" i="1"/>
  <c r="D51" i="1"/>
  <c r="K9" i="3"/>
  <c r="M9" i="3"/>
  <c r="J14" i="3"/>
  <c r="I14" i="3"/>
  <c r="H14" i="3"/>
  <c r="C14" i="3"/>
  <c r="BA29" i="10"/>
  <c r="AY29" i="10"/>
  <c r="AU29" i="10"/>
  <c r="AS29" i="10"/>
  <c r="AQ29" i="10"/>
  <c r="AO29" i="10"/>
  <c r="AM29" i="10"/>
  <c r="AK29" i="10"/>
  <c r="AI29" i="10"/>
  <c r="AG29" i="10"/>
  <c r="AE29" i="10"/>
  <c r="Z29" i="10"/>
  <c r="X29" i="10"/>
  <c r="V29" i="10"/>
  <c r="T29" i="10"/>
  <c r="R29" i="10"/>
  <c r="P29" i="10"/>
  <c r="N29" i="10"/>
  <c r="L29" i="10"/>
  <c r="J29" i="10"/>
  <c r="H28" i="10"/>
  <c r="D28" i="10"/>
  <c r="F28" i="10"/>
  <c r="F27" i="10"/>
  <c r="H27" i="10"/>
  <c r="D27" i="10"/>
  <c r="F26" i="10"/>
  <c r="H26" i="10"/>
  <c r="D26" i="10"/>
  <c r="D25" i="10"/>
  <c r="F25" i="10"/>
  <c r="H25" i="10"/>
  <c r="D24" i="10"/>
  <c r="F24" i="10"/>
  <c r="H24" i="10"/>
  <c r="D23" i="10"/>
  <c r="F23" i="10"/>
  <c r="H23" i="10"/>
  <c r="F22" i="10"/>
  <c r="H22" i="10"/>
  <c r="D22" i="10"/>
  <c r="BB20" i="10"/>
  <c r="D18" i="10"/>
  <c r="D17" i="10"/>
  <c r="D15" i="10"/>
  <c r="AC13" i="10"/>
  <c r="D13" i="10"/>
  <c r="D19" i="10"/>
  <c r="D31" i="10"/>
  <c r="B13" i="10"/>
  <c r="C11" i="10"/>
  <c r="AC10" i="10"/>
  <c r="G10" i="10"/>
  <c r="I10" i="10"/>
  <c r="E10" i="10"/>
  <c r="F10" i="10"/>
  <c r="D10" i="10"/>
  <c r="AC9" i="10"/>
  <c r="G9" i="10"/>
  <c r="H9" i="10"/>
  <c r="E9" i="10"/>
  <c r="F9" i="10"/>
  <c r="D9" i="10"/>
  <c r="AC8" i="10"/>
  <c r="G8" i="10"/>
  <c r="H8" i="10"/>
  <c r="E8" i="10"/>
  <c r="F8" i="10"/>
  <c r="D8" i="10"/>
  <c r="AC7" i="10"/>
  <c r="G7" i="10"/>
  <c r="H7" i="10"/>
  <c r="E7" i="10"/>
  <c r="F7" i="10"/>
  <c r="D7" i="10"/>
  <c r="AC6" i="10"/>
  <c r="G6" i="10"/>
  <c r="H6" i="10"/>
  <c r="E6" i="10"/>
  <c r="F6" i="10"/>
  <c r="D6" i="10"/>
  <c r="AX5" i="10"/>
  <c r="AZ5" i="10"/>
  <c r="BA5" i="10"/>
  <c r="AW5" i="10"/>
  <c r="AV5" i="10"/>
  <c r="AT5" i="10"/>
  <c r="AU5" i="10"/>
  <c r="AS5" i="10"/>
  <c r="AQ5" i="10"/>
  <c r="AC5" i="10"/>
  <c r="I5" i="10"/>
  <c r="K5" i="10"/>
  <c r="H5" i="10"/>
  <c r="E5" i="10"/>
  <c r="F5" i="10"/>
  <c r="D5" i="10"/>
  <c r="AP4" i="10"/>
  <c r="AR4" i="10"/>
  <c r="AO4" i="10"/>
  <c r="AM4" i="10"/>
  <c r="AK4" i="10"/>
  <c r="AC4" i="10"/>
  <c r="I4" i="10"/>
  <c r="K4" i="10"/>
  <c r="H4" i="10"/>
  <c r="E4" i="10"/>
  <c r="E11" i="10"/>
  <c r="D4" i="10"/>
  <c r="D11" i="10"/>
  <c r="X67" i="1"/>
  <c r="T67" i="1"/>
  <c r="R67" i="1"/>
  <c r="P67" i="1"/>
  <c r="V67" i="1"/>
  <c r="F13" i="10"/>
  <c r="F18" i="10"/>
  <c r="F15" i="10"/>
  <c r="F17" i="10"/>
  <c r="H29" i="10"/>
  <c r="M4" i="10"/>
  <c r="L4" i="10"/>
  <c r="D33" i="10"/>
  <c r="D35" i="10"/>
  <c r="AT4" i="10"/>
  <c r="AS4" i="10"/>
  <c r="M5" i="10"/>
  <c r="L5" i="10"/>
  <c r="K10" i="10"/>
  <c r="J10" i="10"/>
  <c r="H10" i="10"/>
  <c r="H11" i="10"/>
  <c r="I6" i="10"/>
  <c r="I7" i="10"/>
  <c r="I8" i="10"/>
  <c r="I9" i="10"/>
  <c r="G11" i="10"/>
  <c r="H13" i="10"/>
  <c r="I11" i="10"/>
  <c r="AQ4" i="10"/>
  <c r="J5" i="10"/>
  <c r="F4" i="10"/>
  <c r="J4" i="10"/>
  <c r="AY5" i="10"/>
  <c r="D34" i="10"/>
  <c r="O4" i="10"/>
  <c r="N4" i="10"/>
  <c r="H34" i="10"/>
  <c r="K9" i="10"/>
  <c r="J9" i="10"/>
  <c r="AV4" i="10"/>
  <c r="AU4" i="10"/>
  <c r="F19" i="10"/>
  <c r="F31" i="10"/>
  <c r="J18" i="10"/>
  <c r="J15" i="10"/>
  <c r="J17" i="10"/>
  <c r="J13" i="10"/>
  <c r="K8" i="10"/>
  <c r="J8" i="10"/>
  <c r="K7" i="10"/>
  <c r="J7" i="10"/>
  <c r="F34" i="10"/>
  <c r="F11" i="10"/>
  <c r="M10" i="10"/>
  <c r="L10" i="10"/>
  <c r="H18" i="10"/>
  <c r="H15" i="10"/>
  <c r="H17" i="10"/>
  <c r="H19" i="10"/>
  <c r="H31" i="10"/>
  <c r="H33" i="10"/>
  <c r="H35" i="10"/>
  <c r="O5" i="10"/>
  <c r="N5" i="10"/>
  <c r="AA29" i="10"/>
  <c r="K6" i="10"/>
  <c r="J6" i="10"/>
  <c r="J34" i="10"/>
  <c r="O10" i="10"/>
  <c r="N10" i="10"/>
  <c r="AX4" i="10"/>
  <c r="AW4" i="10"/>
  <c r="M9" i="10"/>
  <c r="L9" i="10"/>
  <c r="F33" i="10"/>
  <c r="F35" i="10"/>
  <c r="M7" i="10"/>
  <c r="L7" i="10"/>
  <c r="M6" i="10"/>
  <c r="L6" i="10"/>
  <c r="K11" i="10"/>
  <c r="M8" i="10"/>
  <c r="L8" i="10"/>
  <c r="J11" i="10"/>
  <c r="P4" i="10"/>
  <c r="Q4" i="10"/>
  <c r="J19" i="10"/>
  <c r="Q5" i="10"/>
  <c r="P5" i="10"/>
  <c r="AZ4" i="10"/>
  <c r="AY4" i="10"/>
  <c r="L11" i="10"/>
  <c r="L34" i="10"/>
  <c r="O6" i="10"/>
  <c r="N6" i="10"/>
  <c r="M11" i="10"/>
  <c r="O7" i="10"/>
  <c r="N7" i="10"/>
  <c r="J31" i="10"/>
  <c r="R4" i="10"/>
  <c r="S4" i="10"/>
  <c r="O9" i="10"/>
  <c r="N9" i="10"/>
  <c r="S5" i="10"/>
  <c r="R5" i="10"/>
  <c r="O8" i="10"/>
  <c r="N8" i="10"/>
  <c r="Q10" i="10"/>
  <c r="P10" i="10"/>
  <c r="L18" i="10"/>
  <c r="L15" i="10"/>
  <c r="L17" i="10"/>
  <c r="L13" i="10"/>
  <c r="L19" i="10"/>
  <c r="L31" i="10"/>
  <c r="L33" i="10"/>
  <c r="L35" i="10"/>
  <c r="U4" i="10"/>
  <c r="T4" i="10"/>
  <c r="Q7" i="10"/>
  <c r="P7" i="10"/>
  <c r="N18" i="10"/>
  <c r="N15" i="10"/>
  <c r="N17" i="10"/>
  <c r="N13" i="10"/>
  <c r="N19" i="10"/>
  <c r="N11" i="10"/>
  <c r="N34" i="10"/>
  <c r="Q9" i="10"/>
  <c r="P9" i="10"/>
  <c r="Q6" i="10"/>
  <c r="P6" i="10"/>
  <c r="O11" i="10"/>
  <c r="J33" i="10"/>
  <c r="J35" i="10"/>
  <c r="S10" i="10"/>
  <c r="R10" i="10"/>
  <c r="Q8" i="10"/>
  <c r="P8" i="10"/>
  <c r="T5" i="10"/>
  <c r="U5" i="10"/>
  <c r="BA4" i="10"/>
  <c r="P11" i="10"/>
  <c r="P34" i="10"/>
  <c r="S9" i="10"/>
  <c r="R9" i="10"/>
  <c r="P18" i="10"/>
  <c r="P15" i="10"/>
  <c r="P17" i="10"/>
  <c r="P13" i="10"/>
  <c r="P19" i="10"/>
  <c r="P31" i="10"/>
  <c r="P33" i="10"/>
  <c r="P35" i="10"/>
  <c r="V5" i="10"/>
  <c r="W5" i="10"/>
  <c r="S8" i="10"/>
  <c r="R8" i="10"/>
  <c r="U10" i="10"/>
  <c r="T10" i="10"/>
  <c r="W4" i="10"/>
  <c r="V4" i="10"/>
  <c r="S6" i="10"/>
  <c r="R6" i="10"/>
  <c r="Q11" i="10"/>
  <c r="N31" i="10"/>
  <c r="S7" i="10"/>
  <c r="R7" i="10"/>
  <c r="U8" i="10"/>
  <c r="T8" i="10"/>
  <c r="Y5" i="10"/>
  <c r="X5" i="10"/>
  <c r="U7" i="10"/>
  <c r="T7" i="10"/>
  <c r="R11" i="10"/>
  <c r="R34" i="10"/>
  <c r="V10" i="10"/>
  <c r="W10" i="10"/>
  <c r="N33" i="10"/>
  <c r="N35" i="10"/>
  <c r="R17" i="10"/>
  <c r="R13" i="10"/>
  <c r="R18" i="10"/>
  <c r="R15" i="10"/>
  <c r="U6" i="10"/>
  <c r="T6" i="10"/>
  <c r="S11" i="10"/>
  <c r="U9" i="10"/>
  <c r="T9" i="10"/>
  <c r="Y4" i="10"/>
  <c r="X4" i="10"/>
  <c r="X10" i="10"/>
  <c r="Y10" i="10"/>
  <c r="R19" i="10"/>
  <c r="R31" i="10"/>
  <c r="AD4" i="10"/>
  <c r="Z4" i="10"/>
  <c r="V9" i="10"/>
  <c r="W9" i="10"/>
  <c r="V7" i="10"/>
  <c r="W7" i="10"/>
  <c r="T17" i="10"/>
  <c r="T18" i="10"/>
  <c r="T15" i="10"/>
  <c r="T13" i="10"/>
  <c r="T19" i="10"/>
  <c r="T31" i="10"/>
  <c r="T33" i="10"/>
  <c r="T35" i="10"/>
  <c r="AD5" i="10"/>
  <c r="Z5" i="10"/>
  <c r="T34" i="10"/>
  <c r="T11" i="10"/>
  <c r="V6" i="10"/>
  <c r="W6" i="10"/>
  <c r="U11" i="10"/>
  <c r="V8" i="10"/>
  <c r="W8" i="10"/>
  <c r="X9" i="10"/>
  <c r="Y9" i="10"/>
  <c r="X6" i="10"/>
  <c r="Y6" i="10"/>
  <c r="W11" i="10"/>
  <c r="R33" i="10"/>
  <c r="R35" i="10"/>
  <c r="X8" i="10"/>
  <c r="Y8" i="10"/>
  <c r="V17" i="10"/>
  <c r="V13" i="10"/>
  <c r="V18" i="10"/>
  <c r="V15" i="10"/>
  <c r="AF4" i="10"/>
  <c r="AE4" i="10"/>
  <c r="AD10" i="10"/>
  <c r="Z10" i="10"/>
  <c r="X7" i="10"/>
  <c r="Y7" i="10"/>
  <c r="V11" i="10"/>
  <c r="V34" i="10"/>
  <c r="AF5" i="10"/>
  <c r="AE5" i="10"/>
  <c r="O3" i="3"/>
  <c r="A31" i="6"/>
  <c r="A21" i="6"/>
  <c r="A11" i="6"/>
  <c r="A1" i="6"/>
  <c r="G24" i="4"/>
  <c r="F24" i="4"/>
  <c r="G25" i="4"/>
  <c r="G26" i="4"/>
  <c r="G27" i="4"/>
  <c r="G34" i="4"/>
  <c r="G35" i="4"/>
  <c r="G36" i="4"/>
  <c r="N35" i="4"/>
  <c r="N34" i="4"/>
  <c r="N29" i="4"/>
  <c r="M25" i="4"/>
  <c r="M26" i="4"/>
  <c r="M27" i="4"/>
  <c r="L29" i="4"/>
  <c r="L36" i="4"/>
  <c r="L35" i="4"/>
  <c r="L34" i="4"/>
  <c r="G14" i="4"/>
  <c r="G13" i="4"/>
  <c r="G12" i="4"/>
  <c r="G11" i="4"/>
  <c r="G10" i="4"/>
  <c r="G9" i="4"/>
  <c r="G8" i="4"/>
  <c r="G7" i="4"/>
  <c r="G5" i="4"/>
  <c r="G6" i="4"/>
  <c r="G4" i="4"/>
  <c r="G3" i="4"/>
  <c r="N3" i="4"/>
  <c r="N16" i="4"/>
  <c r="N18" i="4"/>
  <c r="N19" i="4"/>
  <c r="N20" i="4"/>
  <c r="N21" i="4"/>
  <c r="N22" i="4"/>
  <c r="M36" i="4"/>
  <c r="N36" i="4"/>
  <c r="M33" i="4"/>
  <c r="M32" i="4"/>
  <c r="M31" i="4"/>
  <c r="M30" i="4"/>
  <c r="M29" i="4"/>
  <c r="M19" i="4"/>
  <c r="M18" i="4"/>
  <c r="M17" i="4"/>
  <c r="N17" i="4"/>
  <c r="M16" i="4"/>
  <c r="G10" i="1"/>
  <c r="I10" i="1" s="1"/>
  <c r="G9" i="1"/>
  <c r="I9" i="1" s="1"/>
  <c r="G8" i="1"/>
  <c r="G7" i="1"/>
  <c r="I7" i="1" s="1"/>
  <c r="G5" i="1"/>
  <c r="G4" i="1"/>
  <c r="I4" i="1" s="1"/>
  <c r="R21" i="4"/>
  <c r="T21" i="4"/>
  <c r="Y21" i="4"/>
  <c r="AA21" i="4"/>
  <c r="Q21" i="4"/>
  <c r="X21" i="4"/>
  <c r="L21" i="4"/>
  <c r="G21" i="4"/>
  <c r="R20" i="4"/>
  <c r="T20" i="4"/>
  <c r="Y20" i="4"/>
  <c r="AA20" i="4"/>
  <c r="Q20" i="4"/>
  <c r="X20" i="4"/>
  <c r="L20" i="4"/>
  <c r="G20" i="4"/>
  <c r="K15" i="4"/>
  <c r="F2" i="9"/>
  <c r="M10" i="4"/>
  <c r="R10" i="4"/>
  <c r="J10" i="4"/>
  <c r="L10" i="4"/>
  <c r="M9" i="4"/>
  <c r="R9" i="4"/>
  <c r="J9" i="4"/>
  <c r="Q9" i="4"/>
  <c r="X9" i="4"/>
  <c r="AE9" i="4"/>
  <c r="AH8" i="4"/>
  <c r="AA8" i="4"/>
  <c r="AH9" i="4"/>
  <c r="T8" i="4"/>
  <c r="AA9" i="4"/>
  <c r="AH10" i="4"/>
  <c r="AI10" i="4"/>
  <c r="M8" i="4"/>
  <c r="R8" i="4"/>
  <c r="J8" i="4"/>
  <c r="AF7" i="4"/>
  <c r="Y7" i="4"/>
  <c r="R7" i="4"/>
  <c r="J7" i="4"/>
  <c r="U7" i="4"/>
  <c r="F15" i="4"/>
  <c r="M6" i="4"/>
  <c r="R6" i="4"/>
  <c r="J6" i="4"/>
  <c r="L6" i="4"/>
  <c r="M5" i="4"/>
  <c r="R5" i="4"/>
  <c r="L5" i="4"/>
  <c r="J5" i="4"/>
  <c r="Q5" i="4"/>
  <c r="X5" i="4"/>
  <c r="AE5" i="4"/>
  <c r="AH4" i="4"/>
  <c r="AA4" i="4"/>
  <c r="AH5" i="4"/>
  <c r="AI5" i="4"/>
  <c r="T4" i="4"/>
  <c r="Y4" i="4"/>
  <c r="M4" i="4"/>
  <c r="R4" i="4"/>
  <c r="J4" i="4"/>
  <c r="Q4" i="4"/>
  <c r="X4" i="4"/>
  <c r="AE4" i="4"/>
  <c r="AF3" i="4"/>
  <c r="Y3" i="4"/>
  <c r="R3" i="4"/>
  <c r="J3" i="4"/>
  <c r="AB3" i="4"/>
  <c r="F10" i="1"/>
  <c r="D48" i="1"/>
  <c r="E11" i="1"/>
  <c r="F18" i="1" s="1"/>
  <c r="B45" i="7"/>
  <c r="C45" i="7" s="1"/>
  <c r="C51" i="7" s="1"/>
  <c r="I6" i="1"/>
  <c r="Z67" i="1"/>
  <c r="AH4" i="10"/>
  <c r="AG4" i="10"/>
  <c r="V19" i="10"/>
  <c r="V31" i="10"/>
  <c r="V33" i="10"/>
  <c r="V35" i="10"/>
  <c r="AH5" i="10"/>
  <c r="AG5" i="10"/>
  <c r="AD8" i="10"/>
  <c r="Z8" i="10"/>
  <c r="X17" i="10"/>
  <c r="X18" i="10"/>
  <c r="X15" i="10"/>
  <c r="X13" i="10"/>
  <c r="X19" i="10"/>
  <c r="X31" i="10"/>
  <c r="X33" i="10"/>
  <c r="X35" i="10"/>
  <c r="AD7" i="10"/>
  <c r="Z7" i="10"/>
  <c r="AD6" i="10"/>
  <c r="Z6" i="10"/>
  <c r="Y11" i="10"/>
  <c r="X34" i="10"/>
  <c r="X11" i="10"/>
  <c r="AD9" i="10"/>
  <c r="Z9" i="10"/>
  <c r="AF10" i="10"/>
  <c r="AE10" i="10"/>
  <c r="J67" i="1"/>
  <c r="N37" i="4"/>
  <c r="N10" i="4"/>
  <c r="N9" i="4"/>
  <c r="N8" i="4"/>
  <c r="N7" i="4"/>
  <c r="N6" i="4"/>
  <c r="N5" i="4"/>
  <c r="N4" i="4"/>
  <c r="N23" i="4"/>
  <c r="AF21" i="4"/>
  <c r="AH21" i="4"/>
  <c r="AB21" i="4"/>
  <c r="AE21" i="4"/>
  <c r="Z21" i="4"/>
  <c r="S21" i="4"/>
  <c r="U21" i="4"/>
  <c r="AE20" i="4"/>
  <c r="Z20" i="4"/>
  <c r="AF20" i="4"/>
  <c r="AH20" i="4"/>
  <c r="AB20" i="4"/>
  <c r="S20" i="4"/>
  <c r="U20" i="4"/>
  <c r="AB7" i="4"/>
  <c r="AI7" i="4"/>
  <c r="AI9" i="4"/>
  <c r="AI8" i="4"/>
  <c r="Q6" i="4"/>
  <c r="X6" i="4"/>
  <c r="AE6" i="4"/>
  <c r="Q10" i="4"/>
  <c r="X10" i="4"/>
  <c r="AE10" i="4"/>
  <c r="T6" i="4"/>
  <c r="Y6" i="4"/>
  <c r="T10" i="4"/>
  <c r="U8" i="4"/>
  <c r="Y8" i="4"/>
  <c r="S9" i="4"/>
  <c r="Z4" i="4"/>
  <c r="AB8" i="4"/>
  <c r="AF8" i="4"/>
  <c r="T9" i="4"/>
  <c r="L7" i="4"/>
  <c r="L8" i="4"/>
  <c r="AB9" i="4"/>
  <c r="Q7" i="4"/>
  <c r="X7" i="4"/>
  <c r="AE7" i="4"/>
  <c r="AG7" i="4"/>
  <c r="AF9" i="4"/>
  <c r="AG9" i="4"/>
  <c r="Q8" i="4"/>
  <c r="X8" i="4"/>
  <c r="AE8" i="4"/>
  <c r="T5" i="4"/>
  <c r="AA6" i="4"/>
  <c r="AF6" i="4"/>
  <c r="AG6" i="4"/>
  <c r="L9" i="4"/>
  <c r="AI3" i="4"/>
  <c r="S5" i="4"/>
  <c r="S4" i="4"/>
  <c r="AF4" i="4"/>
  <c r="AB4" i="4"/>
  <c r="AA5" i="4"/>
  <c r="U6" i="4"/>
  <c r="L3" i="4"/>
  <c r="L4" i="4"/>
  <c r="AI4" i="4"/>
  <c r="Q3" i="4"/>
  <c r="U3" i="4"/>
  <c r="U4" i="4"/>
  <c r="E59" i="7"/>
  <c r="E60" i="7"/>
  <c r="E61" i="7"/>
  <c r="E62" i="7"/>
  <c r="E63" i="7"/>
  <c r="E64" i="7"/>
  <c r="E58" i="7"/>
  <c r="E57" i="7"/>
  <c r="E56" i="7"/>
  <c r="E55" i="7"/>
  <c r="E54" i="7"/>
  <c r="E53" i="7"/>
  <c r="E46" i="7"/>
  <c r="E47" i="7"/>
  <c r="E48" i="7"/>
  <c r="E49" i="7"/>
  <c r="E50" i="7"/>
  <c r="E41" i="7"/>
  <c r="E40" i="7"/>
  <c r="E38" i="7"/>
  <c r="F38" i="7"/>
  <c r="E37" i="7"/>
  <c r="E36" i="7"/>
  <c r="E35" i="7"/>
  <c r="E34" i="7"/>
  <c r="E33" i="7"/>
  <c r="E32" i="7"/>
  <c r="E31" i="7"/>
  <c r="E30" i="7"/>
  <c r="E29" i="7"/>
  <c r="E28" i="7"/>
  <c r="E27" i="7"/>
  <c r="E26" i="7"/>
  <c r="E25" i="7"/>
  <c r="E24" i="7"/>
  <c r="E23" i="7"/>
  <c r="E22" i="7"/>
  <c r="E21" i="7"/>
  <c r="E20" i="7"/>
  <c r="E19" i="7"/>
  <c r="E18" i="7"/>
  <c r="E17" i="7"/>
  <c r="E16" i="7"/>
  <c r="E15" i="7"/>
  <c r="E14" i="7"/>
  <c r="E13" i="7"/>
  <c r="E12" i="7"/>
  <c r="E5" i="7"/>
  <c r="E6" i="7"/>
  <c r="E7" i="7"/>
  <c r="E8" i="7"/>
  <c r="E9" i="7"/>
  <c r="E10" i="7"/>
  <c r="E11" i="7"/>
  <c r="E4" i="7"/>
  <c r="E39" i="7"/>
  <c r="E3" i="7"/>
  <c r="B2" i="7"/>
  <c r="A3" i="7"/>
  <c r="A12" i="7"/>
  <c r="A21" i="7"/>
  <c r="A30" i="7"/>
  <c r="A39" i="7"/>
  <c r="A40" i="7"/>
  <c r="A41" i="7"/>
  <c r="A42" i="7"/>
  <c r="B42" i="7"/>
  <c r="A43" i="7"/>
  <c r="A45" i="7"/>
  <c r="A46" i="7"/>
  <c r="C46" i="7"/>
  <c r="F46" i="7" s="1"/>
  <c r="A47" i="7"/>
  <c r="C47" i="7"/>
  <c r="F47" i="7" s="1"/>
  <c r="A48" i="7"/>
  <c r="B48" i="7"/>
  <c r="C48" i="7" s="1"/>
  <c r="F48" i="7" s="1"/>
  <c r="A49" i="7"/>
  <c r="B49" i="7"/>
  <c r="C49" i="7" s="1"/>
  <c r="F49" i="7" s="1"/>
  <c r="A50" i="7"/>
  <c r="B50" i="7"/>
  <c r="C50" i="7" s="1"/>
  <c r="F50" i="7" s="1"/>
  <c r="A51" i="7"/>
  <c r="A53" i="7"/>
  <c r="B53" i="7"/>
  <c r="C53" i="7" s="1"/>
  <c r="A54" i="7"/>
  <c r="B54" i="7"/>
  <c r="C54" i="7" s="1"/>
  <c r="F54" i="7" s="1"/>
  <c r="A55" i="7"/>
  <c r="B55" i="7"/>
  <c r="C55" i="7" s="1"/>
  <c r="F55" i="7" s="1"/>
  <c r="A56" i="7"/>
  <c r="B56" i="7"/>
  <c r="C56" i="7" s="1"/>
  <c r="F56" i="7" s="1"/>
  <c r="A57" i="7"/>
  <c r="B57" i="7"/>
  <c r="C57" i="7" s="1"/>
  <c r="F57" i="7" s="1"/>
  <c r="A58" i="7"/>
  <c r="B58" i="7"/>
  <c r="C58" i="7" s="1"/>
  <c r="F58" i="7" s="1"/>
  <c r="A59" i="7"/>
  <c r="B59" i="7"/>
  <c r="C59" i="7" s="1"/>
  <c r="F59" i="7" s="1"/>
  <c r="A60" i="7"/>
  <c r="B60" i="7"/>
  <c r="C60" i="7" s="1"/>
  <c r="F60" i="7" s="1"/>
  <c r="A61" i="7"/>
  <c r="B61" i="7"/>
  <c r="C61" i="7" s="1"/>
  <c r="F61" i="7" s="1"/>
  <c r="A62" i="7"/>
  <c r="B62" i="7"/>
  <c r="C62" i="7" s="1"/>
  <c r="F62" i="7" s="1"/>
  <c r="A63" i="7"/>
  <c r="B63" i="7"/>
  <c r="C63" i="7" s="1"/>
  <c r="F63" i="7" s="1"/>
  <c r="A64" i="7"/>
  <c r="B64" i="7"/>
  <c r="C64" i="7" s="1"/>
  <c r="F64" i="7" s="1"/>
  <c r="A65" i="7"/>
  <c r="A67" i="7"/>
  <c r="AH12" i="4"/>
  <c r="AF11" i="4"/>
  <c r="AA27" i="4"/>
  <c r="AF27" i="4"/>
  <c r="AH27" i="4"/>
  <c r="AA26" i="4"/>
  <c r="AF26" i="4"/>
  <c r="AH26" i="4"/>
  <c r="AA25" i="4"/>
  <c r="AF25" i="4"/>
  <c r="AH25" i="4"/>
  <c r="AA12" i="4"/>
  <c r="AH13" i="4"/>
  <c r="Y11" i="4"/>
  <c r="Q16" i="4"/>
  <c r="Q17" i="4"/>
  <c r="X17" i="4"/>
  <c r="AE17" i="4"/>
  <c r="Q18" i="4"/>
  <c r="X18" i="4"/>
  <c r="Q19" i="4"/>
  <c r="X19" i="4"/>
  <c r="T12" i="4"/>
  <c r="R34" i="4"/>
  <c r="R35" i="4"/>
  <c r="R36" i="4"/>
  <c r="T36" i="4"/>
  <c r="Y36" i="4"/>
  <c r="AA36" i="4"/>
  <c r="AF36" i="4"/>
  <c r="AH36" i="4"/>
  <c r="R27" i="4"/>
  <c r="T27" i="4"/>
  <c r="R33" i="4"/>
  <c r="T33" i="4"/>
  <c r="Y33" i="4"/>
  <c r="AA33" i="4"/>
  <c r="AF33" i="4"/>
  <c r="AH33" i="4"/>
  <c r="R32" i="4"/>
  <c r="T32" i="4"/>
  <c r="Y32" i="4"/>
  <c r="AA32" i="4"/>
  <c r="AF32" i="4"/>
  <c r="AH32" i="4"/>
  <c r="R31" i="4"/>
  <c r="T31" i="4"/>
  <c r="Y31" i="4"/>
  <c r="AA31" i="4"/>
  <c r="AF31" i="4"/>
  <c r="AH31" i="4"/>
  <c r="R30" i="4"/>
  <c r="T30" i="4"/>
  <c r="Y30" i="4"/>
  <c r="AA30" i="4"/>
  <c r="AF30" i="4"/>
  <c r="AH30" i="4"/>
  <c r="R26" i="4"/>
  <c r="T26" i="4"/>
  <c r="R25" i="4"/>
  <c r="T25" i="4"/>
  <c r="Q35" i="4"/>
  <c r="Q34" i="4"/>
  <c r="X34" i="4"/>
  <c r="AE34" i="4"/>
  <c r="J33" i="4"/>
  <c r="Q33" i="4"/>
  <c r="X33" i="4"/>
  <c r="AE33" i="4"/>
  <c r="J32" i="4"/>
  <c r="Q32" i="4"/>
  <c r="X32" i="4"/>
  <c r="AE32" i="4"/>
  <c r="J31" i="4"/>
  <c r="Q31" i="4"/>
  <c r="X31" i="4"/>
  <c r="AE31" i="4"/>
  <c r="J30" i="4"/>
  <c r="Q30" i="4"/>
  <c r="X30" i="4"/>
  <c r="AE30" i="4"/>
  <c r="R29" i="4"/>
  <c r="R17" i="4"/>
  <c r="T17" i="4"/>
  <c r="Y17" i="4"/>
  <c r="AA17" i="4"/>
  <c r="AF17" i="4"/>
  <c r="AH17" i="4"/>
  <c r="R18" i="4"/>
  <c r="T18" i="4"/>
  <c r="Y18" i="4"/>
  <c r="AA18" i="4"/>
  <c r="AF18" i="4"/>
  <c r="AH18" i="4"/>
  <c r="R19" i="4"/>
  <c r="T19" i="4"/>
  <c r="Y19" i="4"/>
  <c r="AA19" i="4"/>
  <c r="AF19" i="4"/>
  <c r="AH19" i="4"/>
  <c r="R22" i="4"/>
  <c r="T22" i="4"/>
  <c r="Y22" i="4"/>
  <c r="AA22" i="4"/>
  <c r="R16" i="4"/>
  <c r="Q36" i="4"/>
  <c r="Q24" i="4"/>
  <c r="X24" i="4"/>
  <c r="Q22" i="4"/>
  <c r="N39" i="6"/>
  <c r="M39" i="6"/>
  <c r="L39" i="6"/>
  <c r="K39" i="6"/>
  <c r="J39" i="6"/>
  <c r="I39" i="6"/>
  <c r="H39" i="6"/>
  <c r="G39" i="6"/>
  <c r="F39" i="6"/>
  <c r="E39" i="6"/>
  <c r="D39" i="6"/>
  <c r="C39" i="6"/>
  <c r="O38" i="6"/>
  <c r="O37" i="6"/>
  <c r="O36" i="6"/>
  <c r="O35" i="6"/>
  <c r="O34" i="6"/>
  <c r="O33" i="6"/>
  <c r="O32" i="6"/>
  <c r="N29" i="6"/>
  <c r="M29" i="6"/>
  <c r="L29" i="6"/>
  <c r="K29" i="6"/>
  <c r="J29" i="6"/>
  <c r="I29" i="6"/>
  <c r="H29" i="6"/>
  <c r="G29" i="6"/>
  <c r="F29" i="6"/>
  <c r="E29" i="6"/>
  <c r="D29" i="6"/>
  <c r="C29" i="6"/>
  <c r="E26" i="9"/>
  <c r="O28" i="6"/>
  <c r="O27" i="6"/>
  <c r="O26" i="6"/>
  <c r="O25" i="6"/>
  <c r="O24" i="6"/>
  <c r="O23" i="6"/>
  <c r="O22" i="6"/>
  <c r="N19" i="6"/>
  <c r="M19" i="6"/>
  <c r="L19" i="6"/>
  <c r="K19" i="6"/>
  <c r="J19" i="6"/>
  <c r="I19" i="6"/>
  <c r="H19" i="6"/>
  <c r="G19" i="6"/>
  <c r="F19" i="6"/>
  <c r="E19" i="6"/>
  <c r="D19" i="6"/>
  <c r="C19" i="6"/>
  <c r="O18" i="6"/>
  <c r="O17" i="6"/>
  <c r="O16" i="6"/>
  <c r="O15" i="6"/>
  <c r="O14" i="6"/>
  <c r="O13" i="6"/>
  <c r="O12" i="6"/>
  <c r="O4" i="6"/>
  <c r="O5" i="6"/>
  <c r="O6" i="6"/>
  <c r="O7" i="6"/>
  <c r="O8" i="6"/>
  <c r="O3" i="6"/>
  <c r="O2" i="6"/>
  <c r="D9" i="6"/>
  <c r="E9" i="6"/>
  <c r="F9" i="6"/>
  <c r="G9" i="6"/>
  <c r="H9" i="6"/>
  <c r="I9" i="6"/>
  <c r="J9" i="6"/>
  <c r="K9" i="6"/>
  <c r="L9" i="6"/>
  <c r="M9" i="6"/>
  <c r="N9" i="6"/>
  <c r="C9" i="6"/>
  <c r="AF7" i="10"/>
  <c r="AE7" i="10"/>
  <c r="AF8" i="10"/>
  <c r="AE8" i="10"/>
  <c r="AH10" i="10"/>
  <c r="AG10" i="10"/>
  <c r="AJ5" i="10"/>
  <c r="AI5" i="10"/>
  <c r="AF9" i="10"/>
  <c r="AE9" i="10"/>
  <c r="Z17" i="10"/>
  <c r="Z13" i="10"/>
  <c r="Z18" i="10"/>
  <c r="Z15" i="10"/>
  <c r="AI4" i="10"/>
  <c r="Z34" i="10"/>
  <c r="AA34" i="10"/>
  <c r="Z11" i="10"/>
  <c r="AA11" i="10"/>
  <c r="AF6" i="10"/>
  <c r="AE6" i="10"/>
  <c r="AD11" i="10"/>
  <c r="L67" i="1"/>
  <c r="N67" i="1"/>
  <c r="E5" i="9"/>
  <c r="E4" i="9"/>
  <c r="E18" i="9"/>
  <c r="E19" i="9"/>
  <c r="E28" i="9"/>
  <c r="E2" i="9"/>
  <c r="E20" i="9"/>
  <c r="E29" i="9"/>
  <c r="E27" i="9"/>
  <c r="E13" i="9"/>
  <c r="E21" i="9"/>
  <c r="E30" i="9"/>
  <c r="E12" i="9"/>
  <c r="E22" i="9"/>
  <c r="E31" i="9"/>
  <c r="E11" i="9"/>
  <c r="E23" i="9"/>
  <c r="E10" i="9"/>
  <c r="E24" i="9"/>
  <c r="E9" i="9"/>
  <c r="E25" i="9"/>
  <c r="E8" i="9"/>
  <c r="E7" i="9"/>
  <c r="E3" i="9"/>
  <c r="E15" i="9"/>
  <c r="E16" i="9"/>
  <c r="E17" i="9"/>
  <c r="E6" i="9"/>
  <c r="E14" i="9"/>
  <c r="AI21" i="4"/>
  <c r="T29" i="4"/>
  <c r="T35" i="4"/>
  <c r="T34" i="4"/>
  <c r="U22" i="4"/>
  <c r="S16" i="4"/>
  <c r="T16" i="4"/>
  <c r="Y16" i="4"/>
  <c r="AA16" i="4"/>
  <c r="AF16" i="4"/>
  <c r="AH16" i="4"/>
  <c r="AG20" i="4"/>
  <c r="AG17" i="4"/>
  <c r="AG21" i="4"/>
  <c r="AI20" i="4"/>
  <c r="Z6" i="4"/>
  <c r="S6" i="4"/>
  <c r="G28" i="4"/>
  <c r="S10" i="4"/>
  <c r="AG4" i="4"/>
  <c r="U10" i="4"/>
  <c r="Y10" i="4"/>
  <c r="Z10" i="4"/>
  <c r="AG8" i="4"/>
  <c r="U5" i="4"/>
  <c r="AA10" i="4"/>
  <c r="Y9" i="4"/>
  <c r="Z9" i="4"/>
  <c r="U9" i="4"/>
  <c r="U17" i="4"/>
  <c r="Y5" i="4"/>
  <c r="Z7" i="4"/>
  <c r="S7" i="4"/>
  <c r="S17" i="4"/>
  <c r="AB6" i="4"/>
  <c r="Z8" i="4"/>
  <c r="S8" i="4"/>
  <c r="AH6" i="4"/>
  <c r="AI6" i="4"/>
  <c r="AF5" i="4"/>
  <c r="AG5" i="4"/>
  <c r="AB5" i="4"/>
  <c r="X3" i="4"/>
  <c r="S3" i="4"/>
  <c r="X22" i="4"/>
  <c r="Z22" i="4"/>
  <c r="S18" i="4"/>
  <c r="Y12" i="4"/>
  <c r="U19" i="4"/>
  <c r="AF12" i="4"/>
  <c r="AA13" i="4"/>
  <c r="AH14" i="4"/>
  <c r="D45" i="7"/>
  <c r="E45" i="7"/>
  <c r="C16" i="8"/>
  <c r="AF22" i="4"/>
  <c r="Z19" i="4"/>
  <c r="AE19" i="4"/>
  <c r="AG19" i="4"/>
  <c r="AE24" i="4"/>
  <c r="Z18" i="4"/>
  <c r="AE18" i="4"/>
  <c r="AG18" i="4"/>
  <c r="AI17" i="4"/>
  <c r="X35" i="4"/>
  <c r="AE35" i="4"/>
  <c r="U18" i="4"/>
  <c r="X36" i="4"/>
  <c r="AE36" i="4"/>
  <c r="S22" i="4"/>
  <c r="X16" i="4"/>
  <c r="AB17" i="4"/>
  <c r="AB18" i="4"/>
  <c r="AB19" i="4"/>
  <c r="Z17" i="4"/>
  <c r="S19" i="4"/>
  <c r="O19" i="6"/>
  <c r="O29" i="6"/>
  <c r="O39" i="6"/>
  <c r="O9" i="6"/>
  <c r="Z19" i="10"/>
  <c r="Z31" i="10"/>
  <c r="AH9" i="10"/>
  <c r="AG9" i="10"/>
  <c r="AE17" i="10"/>
  <c r="AE18" i="10"/>
  <c r="AE15" i="10"/>
  <c r="AE13" i="10"/>
  <c r="AE19" i="10"/>
  <c r="AL5" i="10"/>
  <c r="AK5" i="10"/>
  <c r="AE34" i="10"/>
  <c r="AE11" i="10"/>
  <c r="AH6" i="10"/>
  <c r="AG6" i="10"/>
  <c r="AF11" i="10"/>
  <c r="AJ10" i="10"/>
  <c r="AI10" i="10"/>
  <c r="AH8" i="10"/>
  <c r="AG8" i="10"/>
  <c r="AH7" i="10"/>
  <c r="AG7" i="10"/>
  <c r="Y29" i="4"/>
  <c r="Y35" i="4"/>
  <c r="Y34" i="4"/>
  <c r="U16" i="4"/>
  <c r="S23" i="4"/>
  <c r="AB22" i="4"/>
  <c r="AE22" i="4"/>
  <c r="Z5" i="4"/>
  <c r="AH15" i="4"/>
  <c r="AF10" i="4"/>
  <c r="AG10" i="4"/>
  <c r="AB10" i="4"/>
  <c r="AF13" i="4"/>
  <c r="AE3" i="4"/>
  <c r="AG3" i="4"/>
  <c r="Z3" i="4"/>
  <c r="U23" i="4"/>
  <c r="AI19" i="4"/>
  <c r="AI18" i="4"/>
  <c r="Z16" i="4"/>
  <c r="Z23" i="4"/>
  <c r="AE16" i="4"/>
  <c r="AG16" i="4"/>
  <c r="AG22" i="4"/>
  <c r="AH22" i="4"/>
  <c r="AI22" i="4"/>
  <c r="AB16" i="4"/>
  <c r="J26" i="4"/>
  <c r="J25" i="4"/>
  <c r="J27" i="4"/>
  <c r="K24" i="4"/>
  <c r="M24" i="4"/>
  <c r="N24" i="4"/>
  <c r="F29" i="4"/>
  <c r="G29" i="4"/>
  <c r="G37" i="4"/>
  <c r="E43" i="1"/>
  <c r="G43" i="1" s="1"/>
  <c r="I43" i="1" s="1"/>
  <c r="K43" i="1" s="1"/>
  <c r="M43" i="1" s="1"/>
  <c r="O43" i="1" s="1"/>
  <c r="Q43" i="1" s="1"/>
  <c r="S43" i="1" s="1"/>
  <c r="U43" i="1" s="1"/>
  <c r="W43" i="1" s="1"/>
  <c r="Y43" i="1" s="1"/>
  <c r="AA43" i="1" s="1"/>
  <c r="AG17" i="10"/>
  <c r="AG18" i="10"/>
  <c r="AG15" i="10"/>
  <c r="AG13" i="10"/>
  <c r="AG19" i="10"/>
  <c r="AL10" i="10"/>
  <c r="AK10" i="10"/>
  <c r="AG34" i="10"/>
  <c r="AG11" i="10"/>
  <c r="AE31" i="10"/>
  <c r="AJ6" i="10"/>
  <c r="AI6" i="10"/>
  <c r="AH11" i="10"/>
  <c r="AN5" i="10"/>
  <c r="AM5" i="10"/>
  <c r="AJ7" i="10"/>
  <c r="AI7" i="10"/>
  <c r="AJ8" i="10"/>
  <c r="AI8" i="10"/>
  <c r="AJ9" i="10"/>
  <c r="AI9" i="10"/>
  <c r="Z33" i="10"/>
  <c r="Z35" i="10"/>
  <c r="AA31" i="10"/>
  <c r="AA33" i="10"/>
  <c r="AA35" i="10"/>
  <c r="Q27" i="4"/>
  <c r="S27" i="4"/>
  <c r="L27" i="4"/>
  <c r="N27" i="4"/>
  <c r="Q25" i="4"/>
  <c r="S25" i="4"/>
  <c r="L25" i="4"/>
  <c r="N25" i="4"/>
  <c r="Q26" i="4"/>
  <c r="S26" i="4"/>
  <c r="L26" i="4"/>
  <c r="N26" i="4"/>
  <c r="N28" i="4"/>
  <c r="AA29" i="4"/>
  <c r="AA35" i="4"/>
  <c r="AA34" i="4"/>
  <c r="AB23" i="4"/>
  <c r="V23" i="4"/>
  <c r="AG23" i="4"/>
  <c r="L24" i="4"/>
  <c r="AI16" i="4"/>
  <c r="AI34" i="10"/>
  <c r="AI11" i="10"/>
  <c r="AI17" i="10"/>
  <c r="AI18" i="10"/>
  <c r="AI15" i="10"/>
  <c r="AI13" i="10"/>
  <c r="AI19" i="10"/>
  <c r="AI31" i="10"/>
  <c r="AI33" i="10"/>
  <c r="AI35" i="10"/>
  <c r="AG31" i="10"/>
  <c r="AG33" i="10"/>
  <c r="AG35" i="10"/>
  <c r="AE33" i="10"/>
  <c r="AE35" i="10"/>
  <c r="AL9" i="10"/>
  <c r="AK9" i="10"/>
  <c r="AL8" i="10"/>
  <c r="AK8" i="10"/>
  <c r="AO5" i="10"/>
  <c r="AL6" i="10"/>
  <c r="AK6" i="10"/>
  <c r="AJ11" i="10"/>
  <c r="AN10" i="10"/>
  <c r="AM10" i="10"/>
  <c r="AL7" i="10"/>
  <c r="AK7" i="10"/>
  <c r="AF29" i="4"/>
  <c r="AC23" i="4"/>
  <c r="AF35" i="4"/>
  <c r="AF34" i="4"/>
  <c r="AI23" i="4"/>
  <c r="X25" i="4"/>
  <c r="U25" i="4"/>
  <c r="X26" i="4"/>
  <c r="U26" i="4"/>
  <c r="X27" i="4"/>
  <c r="U27" i="4"/>
  <c r="R24" i="4"/>
  <c r="T24" i="4"/>
  <c r="R11" i="4"/>
  <c r="M14" i="4"/>
  <c r="M13" i="4"/>
  <c r="M12" i="4"/>
  <c r="G17" i="4"/>
  <c r="G18" i="4"/>
  <c r="G19" i="4"/>
  <c r="G22" i="4"/>
  <c r="G16" i="4"/>
  <c r="AN8" i="10"/>
  <c r="AM8" i="10"/>
  <c r="AN9" i="10"/>
  <c r="AM9" i="10"/>
  <c r="AN7" i="10"/>
  <c r="AM7" i="10"/>
  <c r="AP10" i="10"/>
  <c r="AO10" i="10"/>
  <c r="AK18" i="10"/>
  <c r="AK15" i="10"/>
  <c r="AK17" i="10"/>
  <c r="AK13" i="10"/>
  <c r="AK19" i="10"/>
  <c r="AK31" i="10"/>
  <c r="AK33" i="10"/>
  <c r="AK35" i="10"/>
  <c r="AK11" i="10"/>
  <c r="AK34" i="10"/>
  <c r="AN6" i="10"/>
  <c r="AM6" i="10"/>
  <c r="AL11" i="10"/>
  <c r="M15" i="4"/>
  <c r="AH29" i="4"/>
  <c r="AH35" i="4"/>
  <c r="AH34" i="4"/>
  <c r="F8" i="9"/>
  <c r="F14" i="9"/>
  <c r="Z27" i="4"/>
  <c r="AE27" i="4"/>
  <c r="AB27" i="4"/>
  <c r="R12" i="4"/>
  <c r="T13" i="4"/>
  <c r="AE26" i="4"/>
  <c r="AB26" i="4"/>
  <c r="Z26" i="4"/>
  <c r="R13" i="4"/>
  <c r="T14" i="4"/>
  <c r="R14" i="4"/>
  <c r="Z25" i="4"/>
  <c r="AE25" i="4"/>
  <c r="AB25" i="4"/>
  <c r="S24" i="4"/>
  <c r="AJ23" i="4"/>
  <c r="L28" i="4"/>
  <c r="AR10" i="10"/>
  <c r="AQ10" i="10"/>
  <c r="AP7" i="10"/>
  <c r="AO7" i="10"/>
  <c r="AP9" i="10"/>
  <c r="AO9" i="10"/>
  <c r="AM13" i="10"/>
  <c r="AM17" i="10"/>
  <c r="AM18" i="10"/>
  <c r="AM15" i="10"/>
  <c r="AP6" i="10"/>
  <c r="AO6" i="10"/>
  <c r="AN11" i="10"/>
  <c r="AP8" i="10"/>
  <c r="AO8" i="10"/>
  <c r="AM34" i="10"/>
  <c r="AM11" i="10"/>
  <c r="R15" i="4"/>
  <c r="T15" i="4"/>
  <c r="F20" i="9"/>
  <c r="S28" i="4"/>
  <c r="AG26" i="4"/>
  <c r="AI26" i="4"/>
  <c r="Y13" i="4"/>
  <c r="AA14" i="4"/>
  <c r="AA15" i="4"/>
  <c r="Y14" i="4"/>
  <c r="U24" i="4"/>
  <c r="U28" i="4"/>
  <c r="Y24" i="4"/>
  <c r="AG25" i="4"/>
  <c r="AI25" i="4"/>
  <c r="AG27" i="4"/>
  <c r="AI27" i="4"/>
  <c r="L22" i="4"/>
  <c r="L18" i="4"/>
  <c r="L17" i="4"/>
  <c r="L16" i="4"/>
  <c r="J13" i="4"/>
  <c r="N13" i="4"/>
  <c r="J11" i="4"/>
  <c r="N11" i="4"/>
  <c r="AR6" i="10"/>
  <c r="AQ6" i="10"/>
  <c r="AP11" i="10"/>
  <c r="AR9" i="10"/>
  <c r="AQ9" i="10"/>
  <c r="AR8" i="10"/>
  <c r="AQ8" i="10"/>
  <c r="AO11" i="10"/>
  <c r="AO34" i="10"/>
  <c r="AR7" i="10"/>
  <c r="AQ7" i="10"/>
  <c r="AO18" i="10"/>
  <c r="AO15" i="10"/>
  <c r="AO17" i="10"/>
  <c r="AO13" i="10"/>
  <c r="AO19" i="10"/>
  <c r="AO31" i="10"/>
  <c r="AO33" i="10"/>
  <c r="AO35" i="10"/>
  <c r="AM19" i="10"/>
  <c r="AM31" i="10"/>
  <c r="AT10" i="10"/>
  <c r="AS10" i="10"/>
  <c r="Y15" i="4"/>
  <c r="F26" i="9"/>
  <c r="AI13" i="4"/>
  <c r="L13" i="4"/>
  <c r="Q13" i="4"/>
  <c r="AB13" i="4"/>
  <c r="U13" i="4"/>
  <c r="AB14" i="4"/>
  <c r="AF14" i="4"/>
  <c r="AF15" i="4"/>
  <c r="AA24" i="4"/>
  <c r="Z24" i="4"/>
  <c r="V28" i="4"/>
  <c r="Q11" i="4"/>
  <c r="AB11" i="4"/>
  <c r="AI11" i="4"/>
  <c r="U11" i="4"/>
  <c r="L11" i="4"/>
  <c r="Q29" i="4"/>
  <c r="L19" i="4"/>
  <c r="L23" i="4"/>
  <c r="J12" i="4"/>
  <c r="N12" i="4"/>
  <c r="J14" i="4"/>
  <c r="N14" i="4"/>
  <c r="N15" i="4"/>
  <c r="N38" i="4"/>
  <c r="AM33" i="10"/>
  <c r="AM35" i="10"/>
  <c r="AT9" i="10"/>
  <c r="AS9" i="10"/>
  <c r="AQ18" i="10"/>
  <c r="AQ15" i="10"/>
  <c r="AQ17" i="10"/>
  <c r="AQ13" i="10"/>
  <c r="AQ19" i="10"/>
  <c r="AT7" i="10"/>
  <c r="AS7" i="10"/>
  <c r="AT8" i="10"/>
  <c r="AS8" i="10"/>
  <c r="AQ34" i="10"/>
  <c r="AQ11" i="10"/>
  <c r="AV10" i="10"/>
  <c r="AU10" i="10"/>
  <c r="AT6" i="10"/>
  <c r="AS6" i="10"/>
  <c r="AR11" i="10"/>
  <c r="U35" i="4"/>
  <c r="U34" i="4"/>
  <c r="U36" i="4"/>
  <c r="S36" i="4"/>
  <c r="S29" i="4"/>
  <c r="S35" i="4"/>
  <c r="S34" i="4"/>
  <c r="U29" i="4"/>
  <c r="U37" i="4"/>
  <c r="B40" i="7"/>
  <c r="C40" i="7" s="1"/>
  <c r="F40" i="7" s="1"/>
  <c r="B41" i="7"/>
  <c r="C41" i="7" s="1"/>
  <c r="F41" i="7" s="1"/>
  <c r="B39" i="7"/>
  <c r="C39" i="7" s="1"/>
  <c r="F39" i="7" s="1"/>
  <c r="B21" i="7"/>
  <c r="C21" i="7" s="1"/>
  <c r="B12" i="7"/>
  <c r="C12" i="7" s="1"/>
  <c r="F12" i="7" s="1"/>
  <c r="B30" i="7"/>
  <c r="C30" i="7" s="1"/>
  <c r="X13" i="4"/>
  <c r="S13" i="4"/>
  <c r="L14" i="4"/>
  <c r="Q14" i="4"/>
  <c r="AI14" i="4"/>
  <c r="U14" i="4"/>
  <c r="Z28" i="4"/>
  <c r="X29" i="4"/>
  <c r="S37" i="4"/>
  <c r="AB24" i="4"/>
  <c r="AB28" i="4"/>
  <c r="AF24" i="4"/>
  <c r="X11" i="4"/>
  <c r="S11" i="4"/>
  <c r="Q12" i="4"/>
  <c r="U12" i="4"/>
  <c r="L12" i="4"/>
  <c r="L15" i="4"/>
  <c r="AI12" i="4"/>
  <c r="AB12" i="4"/>
  <c r="AB15" i="4"/>
  <c r="L37" i="4"/>
  <c r="G15" i="4"/>
  <c r="G23" i="4"/>
  <c r="AX10" i="10"/>
  <c r="AW10" i="10"/>
  <c r="AV8" i="10"/>
  <c r="AU8" i="10"/>
  <c r="AV7" i="10"/>
  <c r="AU7" i="10"/>
  <c r="AQ31" i="10"/>
  <c r="AS18" i="10"/>
  <c r="AS15" i="10"/>
  <c r="AS17" i="10"/>
  <c r="AS13" i="10"/>
  <c r="AS19" i="10"/>
  <c r="AV9" i="10"/>
  <c r="AU9" i="10"/>
  <c r="AS34" i="10"/>
  <c r="AS11" i="10"/>
  <c r="AV6" i="10"/>
  <c r="AU6" i="10"/>
  <c r="AT11" i="10"/>
  <c r="AB36" i="4"/>
  <c r="AB35" i="4"/>
  <c r="AB34" i="4"/>
  <c r="Z36" i="4"/>
  <c r="Z34" i="4"/>
  <c r="Z35" i="4"/>
  <c r="Z29" i="4"/>
  <c r="AB29" i="4"/>
  <c r="AB37" i="4"/>
  <c r="AB38" i="4"/>
  <c r="U15" i="4"/>
  <c r="H23" i="4"/>
  <c r="G38" i="4"/>
  <c r="AI15" i="4"/>
  <c r="U38" i="4"/>
  <c r="V37" i="4"/>
  <c r="Z11" i="4"/>
  <c r="AE11" i="4"/>
  <c r="AG11" i="4"/>
  <c r="AC28" i="4"/>
  <c r="X14" i="4"/>
  <c r="S14" i="4"/>
  <c r="Z37" i="4"/>
  <c r="AE29" i="4"/>
  <c r="AE13" i="4"/>
  <c r="AG13" i="4"/>
  <c r="Z13" i="4"/>
  <c r="X12" i="4"/>
  <c r="S12" i="4"/>
  <c r="AH24" i="4"/>
  <c r="AI24" i="4"/>
  <c r="AI28" i="4"/>
  <c r="AG24" i="4"/>
  <c r="AG28" i="4"/>
  <c r="O23" i="4"/>
  <c r="AX9" i="10"/>
  <c r="AW9" i="10"/>
  <c r="AX6" i="10"/>
  <c r="AW6" i="10"/>
  <c r="AV11" i="10"/>
  <c r="AS31" i="10"/>
  <c r="AS33" i="10"/>
  <c r="AS35" i="10"/>
  <c r="AX8" i="10"/>
  <c r="AW8" i="10"/>
  <c r="AU18" i="10"/>
  <c r="AU15" i="10"/>
  <c r="AU17" i="10"/>
  <c r="AU13" i="10"/>
  <c r="AU19" i="10"/>
  <c r="AU31" i="10"/>
  <c r="AU33" i="10"/>
  <c r="AU35" i="10"/>
  <c r="AQ33" i="10"/>
  <c r="AQ35" i="10"/>
  <c r="AX7" i="10"/>
  <c r="AW7" i="10"/>
  <c r="AU11" i="10"/>
  <c r="AU34" i="10"/>
  <c r="AZ10" i="10"/>
  <c r="BA10" i="10"/>
  <c r="AY10" i="10"/>
  <c r="AG36" i="4"/>
  <c r="AI36" i="4"/>
  <c r="AG29" i="4"/>
  <c r="AG34" i="4"/>
  <c r="AG35" i="4"/>
  <c r="AI34" i="4"/>
  <c r="AI35" i="4"/>
  <c r="AI29" i="4"/>
  <c r="AI37" i="4"/>
  <c r="S15" i="4"/>
  <c r="S38" i="4"/>
  <c r="AE14" i="4"/>
  <c r="AG14" i="4"/>
  <c r="Z14" i="4"/>
  <c r="AG37" i="4"/>
  <c r="AJ28" i="4"/>
  <c r="AE12" i="4"/>
  <c r="AG12" i="4"/>
  <c r="Z12" i="4"/>
  <c r="H28" i="4"/>
  <c r="L38" i="4"/>
  <c r="O15" i="4"/>
  <c r="O28" i="4"/>
  <c r="O37" i="4"/>
  <c r="AZ7" i="10"/>
  <c r="BA7" i="10"/>
  <c r="AY7" i="10"/>
  <c r="AW11" i="10"/>
  <c r="AW34" i="10"/>
  <c r="AZ6" i="10"/>
  <c r="AY6" i="10"/>
  <c r="AX11" i="10"/>
  <c r="AZ8" i="10"/>
  <c r="BA8" i="10"/>
  <c r="AY8" i="10"/>
  <c r="AW18" i="10"/>
  <c r="AW15" i="10"/>
  <c r="AW17" i="10"/>
  <c r="AW13" i="10"/>
  <c r="AW19" i="10"/>
  <c r="AZ9" i="10"/>
  <c r="BA9" i="10"/>
  <c r="AY9" i="10"/>
  <c r="Z15" i="4"/>
  <c r="V15" i="4"/>
  <c r="V38" i="4"/>
  <c r="AG15" i="4"/>
  <c r="AJ15" i="4"/>
  <c r="AI38" i="4"/>
  <c r="AC15" i="4"/>
  <c r="Z38" i="4"/>
  <c r="AG38" i="4"/>
  <c r="AC37" i="4"/>
  <c r="H37" i="4"/>
  <c r="H38" i="4"/>
  <c r="O38" i="4"/>
  <c r="AY34" i="10"/>
  <c r="AY11" i="10"/>
  <c r="AY18" i="10"/>
  <c r="AY15" i="10"/>
  <c r="AY17" i="10"/>
  <c r="AY13" i="10"/>
  <c r="AY19" i="10"/>
  <c r="AY31" i="10"/>
  <c r="AY33" i="10"/>
  <c r="AY35" i="10"/>
  <c r="BA6" i="10"/>
  <c r="AZ11" i="10"/>
  <c r="AJ37" i="4"/>
  <c r="AJ38" i="4"/>
  <c r="AC38" i="4"/>
  <c r="BA17" i="10"/>
  <c r="BA13" i="10"/>
  <c r="BA15" i="10"/>
  <c r="BA18" i="10"/>
  <c r="BA34" i="10"/>
  <c r="BB34" i="10"/>
  <c r="AW24" i="10"/>
  <c r="AW29" i="10"/>
  <c r="BA11" i="10"/>
  <c r="BB11" i="10"/>
  <c r="AW31" i="10"/>
  <c r="AW33" i="10"/>
  <c r="AW35" i="10"/>
  <c r="BB29" i="10"/>
  <c r="BA19" i="10"/>
  <c r="BA31" i="10"/>
  <c r="BA33" i="10"/>
  <c r="BA35" i="10"/>
  <c r="BB31" i="10"/>
  <c r="BB33" i="10"/>
  <c r="BB35" i="10"/>
  <c r="C20" i="9"/>
  <c r="B3" i="7"/>
  <c r="C3" i="7" s="1"/>
  <c r="F7" i="7" s="1"/>
  <c r="O8" i="5"/>
  <c r="C21" i="9"/>
  <c r="C22" i="9"/>
  <c r="C23" i="9"/>
  <c r="C24" i="9"/>
  <c r="C25" i="9"/>
  <c r="C26" i="9"/>
  <c r="C27" i="9"/>
  <c r="C28" i="9"/>
  <c r="C29" i="9"/>
  <c r="C31" i="9"/>
  <c r="C30" i="9"/>
  <c r="D5" i="5" l="1"/>
  <c r="E5" i="5" s="1"/>
  <c r="Z31" i="1"/>
  <c r="Z33" i="1" s="1"/>
  <c r="N11" i="1"/>
  <c r="L31" i="1"/>
  <c r="L33" i="1" s="1"/>
  <c r="R7" i="1"/>
  <c r="S7" i="1"/>
  <c r="P4" i="1"/>
  <c r="Q4" i="1"/>
  <c r="M11" i="1"/>
  <c r="Q9" i="1"/>
  <c r="U10" i="1"/>
  <c r="O8" i="1"/>
  <c r="U6" i="1"/>
  <c r="W5" i="1"/>
  <c r="X5" i="1" s="1"/>
  <c r="AC67" i="1"/>
  <c r="H8" i="1"/>
  <c r="C15" i="8" a="1"/>
  <c r="C15" i="8" s="1"/>
  <c r="H10" i="1"/>
  <c r="F45" i="7"/>
  <c r="F51" i="7" s="1"/>
  <c r="F29" i="1"/>
  <c r="I8" i="1"/>
  <c r="I11" i="1" s="1"/>
  <c r="H29" i="1"/>
  <c r="C14" i="8" a="1"/>
  <c r="C14" i="8" s="1"/>
  <c r="C13" i="8" a="1"/>
  <c r="C13" i="8" s="1"/>
  <c r="C12" i="8" a="1"/>
  <c r="C12" i="8" s="1"/>
  <c r="J29" i="1"/>
  <c r="G11" i="1"/>
  <c r="C3" i="9" s="1"/>
  <c r="C2" i="9"/>
  <c r="F35" i="7"/>
  <c r="F33" i="7"/>
  <c r="F32" i="7"/>
  <c r="O8" i="2"/>
  <c r="M8" i="2"/>
  <c r="D44" i="1"/>
  <c r="H6" i="1"/>
  <c r="G28" i="2"/>
  <c r="I8" i="2"/>
  <c r="J6" i="1"/>
  <c r="O28" i="2"/>
  <c r="O29" i="2" s="1"/>
  <c r="I28" i="2"/>
  <c r="I29" i="2" s="1"/>
  <c r="E47" i="1"/>
  <c r="G47" i="1" s="1"/>
  <c r="J10" i="1"/>
  <c r="F34" i="7"/>
  <c r="F6" i="7"/>
  <c r="F8" i="7"/>
  <c r="F5" i="7"/>
  <c r="F11" i="7"/>
  <c r="F10" i="7"/>
  <c r="F21" i="7"/>
  <c r="F28" i="7"/>
  <c r="F22" i="7"/>
  <c r="F27" i="7"/>
  <c r="F29" i="7"/>
  <c r="F24" i="7"/>
  <c r="F26" i="7"/>
  <c r="F25" i="7"/>
  <c r="F23" i="7"/>
  <c r="C65" i="7"/>
  <c r="F53" i="7"/>
  <c r="F65" i="7" s="1"/>
  <c r="F9" i="7"/>
  <c r="F31" i="7"/>
  <c r="F13" i="7"/>
  <c r="F4" i="7"/>
  <c r="F14" i="7"/>
  <c r="F17" i="7"/>
  <c r="F15" i="7"/>
  <c r="F19" i="7"/>
  <c r="F30" i="7"/>
  <c r="F18" i="7"/>
  <c r="F20" i="7"/>
  <c r="F3" i="7"/>
  <c r="F43" i="7" s="1"/>
  <c r="F37" i="7"/>
  <c r="F36" i="7"/>
  <c r="F16" i="7"/>
  <c r="H9" i="1"/>
  <c r="J9" i="1"/>
  <c r="F9" i="1"/>
  <c r="F8" i="1"/>
  <c r="D47" i="1"/>
  <c r="M28" i="2"/>
  <c r="M29" i="2" s="1"/>
  <c r="E28" i="2"/>
  <c r="R9" i="1" l="1"/>
  <c r="S9" i="1"/>
  <c r="P8" i="1"/>
  <c r="Q8" i="1"/>
  <c r="V6" i="1"/>
  <c r="W6" i="1"/>
  <c r="X6" i="1" s="1"/>
  <c r="T7" i="1"/>
  <c r="U7" i="1"/>
  <c r="V10" i="1"/>
  <c r="W10" i="1"/>
  <c r="X10" i="1" s="1"/>
  <c r="P11" i="1"/>
  <c r="N18" i="1"/>
  <c r="N15" i="1"/>
  <c r="O11" i="1"/>
  <c r="R4" i="1"/>
  <c r="S4" i="1"/>
  <c r="F67" i="7"/>
  <c r="G3" i="7" s="1"/>
  <c r="AC29" i="1"/>
  <c r="J8" i="1"/>
  <c r="F47" i="1"/>
  <c r="J18" i="1"/>
  <c r="AB9" i="1"/>
  <c r="H18" i="1"/>
  <c r="F19" i="1"/>
  <c r="G29" i="2"/>
  <c r="X43" i="1"/>
  <c r="E29" i="2"/>
  <c r="B28" i="2"/>
  <c r="E46" i="1"/>
  <c r="AB8" i="1"/>
  <c r="C4" i="9"/>
  <c r="E48" i="1"/>
  <c r="AB10" i="1"/>
  <c r="H47" i="1"/>
  <c r="I47" i="1"/>
  <c r="H3" i="7"/>
  <c r="I3" i="7" s="1"/>
  <c r="J3" i="7" s="1"/>
  <c r="D17" i="8" s="1"/>
  <c r="F7" i="1"/>
  <c r="J7" i="1"/>
  <c r="R45" i="1"/>
  <c r="N45" i="1"/>
  <c r="T45" i="1"/>
  <c r="H7" i="1"/>
  <c r="V45" i="1"/>
  <c r="L45" i="1"/>
  <c r="X45" i="1"/>
  <c r="AB7" i="1"/>
  <c r="P45" i="1"/>
  <c r="Z45" i="1"/>
  <c r="F45" i="1"/>
  <c r="D45" i="1"/>
  <c r="J45" i="1"/>
  <c r="H45" i="1"/>
  <c r="C2" i="2"/>
  <c r="H5" i="1"/>
  <c r="R43" i="1"/>
  <c r="T43" i="1"/>
  <c r="F43" i="1"/>
  <c r="J5" i="1"/>
  <c r="D43" i="1"/>
  <c r="N43" i="1"/>
  <c r="AB5" i="1"/>
  <c r="P43" i="1"/>
  <c r="F5" i="1"/>
  <c r="H43" i="1"/>
  <c r="J43" i="1"/>
  <c r="L43" i="1"/>
  <c r="V43" i="1"/>
  <c r="Z43" i="1"/>
  <c r="R8" i="1" l="1"/>
  <c r="S8" i="1"/>
  <c r="Q11" i="1"/>
  <c r="R11" i="1"/>
  <c r="P18" i="1"/>
  <c r="P15" i="1"/>
  <c r="P19" i="1" s="1"/>
  <c r="P31" i="1" s="1"/>
  <c r="P33" i="1" s="1"/>
  <c r="U9" i="1"/>
  <c r="T9" i="1"/>
  <c r="V7" i="1"/>
  <c r="W7" i="1"/>
  <c r="X7" i="1" s="1"/>
  <c r="S11" i="1"/>
  <c r="U4" i="1"/>
  <c r="T4" i="1"/>
  <c r="N19" i="1"/>
  <c r="N31" i="1" s="1"/>
  <c r="N33" i="1" s="1"/>
  <c r="H19" i="1"/>
  <c r="D42" i="1"/>
  <c r="J4" i="1"/>
  <c r="J11" i="1" s="1"/>
  <c r="H4" i="1"/>
  <c r="H34" i="1" s="1"/>
  <c r="F4" i="1"/>
  <c r="F34" i="1" s="1"/>
  <c r="AB6" i="1"/>
  <c r="E44" i="1"/>
  <c r="F48" i="1"/>
  <c r="G48" i="1"/>
  <c r="C5" i="9"/>
  <c r="K47" i="1"/>
  <c r="J47" i="1"/>
  <c r="J19" i="1"/>
  <c r="F46" i="1"/>
  <c r="G46" i="1"/>
  <c r="AB4" i="1"/>
  <c r="E42" i="1"/>
  <c r="E17" i="8"/>
  <c r="F17" i="8" s="1"/>
  <c r="F11" i="1"/>
  <c r="F31" i="1" s="1"/>
  <c r="F33" i="1" s="1"/>
  <c r="L34" i="1"/>
  <c r="Z34" i="1"/>
  <c r="W4" i="1" l="1"/>
  <c r="V4" i="1"/>
  <c r="T18" i="1"/>
  <c r="T15" i="1"/>
  <c r="T19" i="1" s="1"/>
  <c r="C9" i="9"/>
  <c r="W9" i="1"/>
  <c r="X9" i="1" s="1"/>
  <c r="V9" i="1"/>
  <c r="R18" i="1"/>
  <c r="R15" i="1"/>
  <c r="R19" i="1" s="1"/>
  <c r="R31" i="1" s="1"/>
  <c r="R33" i="1" s="1"/>
  <c r="T8" i="1"/>
  <c r="T11" i="1" s="1"/>
  <c r="U8" i="1"/>
  <c r="AB11" i="1"/>
  <c r="AB34" i="1"/>
  <c r="N34" i="1"/>
  <c r="H11" i="1"/>
  <c r="H31" i="1" s="1"/>
  <c r="H33" i="1" s="1"/>
  <c r="H35" i="1" s="1"/>
  <c r="J34" i="1"/>
  <c r="F35" i="1"/>
  <c r="Z35" i="1"/>
  <c r="H48" i="1"/>
  <c r="I48" i="1"/>
  <c r="E49" i="1"/>
  <c r="F42" i="1"/>
  <c r="G42" i="1"/>
  <c r="C11" i="9"/>
  <c r="M47" i="1"/>
  <c r="L47" i="1"/>
  <c r="C6" i="9"/>
  <c r="H46" i="1"/>
  <c r="I46" i="1"/>
  <c r="J31" i="1"/>
  <c r="J33" i="1" s="1"/>
  <c r="F4" i="5" s="1"/>
  <c r="F5" i="5" s="1"/>
  <c r="B7" i="5" s="1"/>
  <c r="F44" i="1"/>
  <c r="G44" i="1"/>
  <c r="T34" i="1" l="1"/>
  <c r="W8" i="1"/>
  <c r="X8" i="1" s="1"/>
  <c r="V8" i="1"/>
  <c r="V34" i="1" s="1"/>
  <c r="T31" i="1"/>
  <c r="T33" i="1" s="1"/>
  <c r="V11" i="1"/>
  <c r="X4" i="1"/>
  <c r="W11" i="1"/>
  <c r="U11" i="1"/>
  <c r="P34" i="1"/>
  <c r="J35" i="1"/>
  <c r="E4" i="3" s="1"/>
  <c r="E5" i="3" s="1"/>
  <c r="L35" i="1"/>
  <c r="F4" i="3" s="1"/>
  <c r="G49" i="1"/>
  <c r="H42" i="1"/>
  <c r="I42" i="1"/>
  <c r="C12" i="9"/>
  <c r="H44" i="1"/>
  <c r="I44" i="1"/>
  <c r="AB19" i="1"/>
  <c r="AB31" i="1" s="1"/>
  <c r="AB33" i="1" s="1"/>
  <c r="AB35" i="1" s="1"/>
  <c r="L4" i="3" s="1"/>
  <c r="N35" i="1"/>
  <c r="G4" i="3" s="1"/>
  <c r="N47" i="1"/>
  <c r="O47" i="1"/>
  <c r="J48" i="1"/>
  <c r="K48" i="1"/>
  <c r="C7" i="9"/>
  <c r="K46" i="1"/>
  <c r="J46" i="1"/>
  <c r="F49" i="1"/>
  <c r="D72" i="1"/>
  <c r="X18" i="1" l="1"/>
  <c r="X15" i="1"/>
  <c r="X19" i="1" s="1"/>
  <c r="X11" i="1"/>
  <c r="X34" i="1"/>
  <c r="V18" i="1"/>
  <c r="V15" i="1"/>
  <c r="V19" i="1" s="1"/>
  <c r="V31" i="1" s="1"/>
  <c r="V33" i="1" s="1"/>
  <c r="C10" i="9"/>
  <c r="V35" i="1"/>
  <c r="K4" i="3" s="1"/>
  <c r="T35" i="1"/>
  <c r="J4" i="3" s="1"/>
  <c r="F5" i="3"/>
  <c r="G5" i="3" s="1"/>
  <c r="P35" i="1"/>
  <c r="H4" i="3" s="1"/>
  <c r="L46" i="1"/>
  <c r="M46" i="1"/>
  <c r="C13" i="9"/>
  <c r="C8" i="9"/>
  <c r="L48" i="1"/>
  <c r="M48" i="1"/>
  <c r="K42" i="1"/>
  <c r="J42" i="1"/>
  <c r="I49" i="1"/>
  <c r="F72" i="1"/>
  <c r="H49" i="1"/>
  <c r="R34" i="1"/>
  <c r="K44" i="1"/>
  <c r="J44" i="1"/>
  <c r="Q47" i="1"/>
  <c r="P47" i="1"/>
  <c r="F57" i="1"/>
  <c r="F69" i="1" s="1"/>
  <c r="F71" i="1" s="1"/>
  <c r="D73" i="1" s="1"/>
  <c r="M4" i="3" s="1"/>
  <c r="X31" i="1" l="1"/>
  <c r="X33" i="1" s="1"/>
  <c r="X35" i="1" s="1"/>
  <c r="AC11" i="1"/>
  <c r="J49" i="1"/>
  <c r="H72" i="1"/>
  <c r="H57" i="1"/>
  <c r="N48" i="1"/>
  <c r="O48" i="1"/>
  <c r="N46" i="1"/>
  <c r="O46" i="1"/>
  <c r="L42" i="1"/>
  <c r="M42" i="1"/>
  <c r="K49" i="1"/>
  <c r="S47" i="1"/>
  <c r="R47" i="1"/>
  <c r="H5" i="3"/>
  <c r="L44" i="1"/>
  <c r="M44" i="1"/>
  <c r="J56" i="1"/>
  <c r="J53" i="1"/>
  <c r="J55" i="1"/>
  <c r="J51" i="1"/>
  <c r="C14" i="9"/>
  <c r="H69" i="1" l="1"/>
  <c r="AC19" i="1"/>
  <c r="J57" i="1"/>
  <c r="L49" i="1"/>
  <c r="J72" i="1"/>
  <c r="Q46" i="1"/>
  <c r="P46" i="1"/>
  <c r="M49" i="1"/>
  <c r="N42" i="1"/>
  <c r="O42" i="1"/>
  <c r="T47" i="1"/>
  <c r="U47" i="1"/>
  <c r="O44" i="1"/>
  <c r="N44" i="1"/>
  <c r="R35" i="1"/>
  <c r="I4" i="3" s="1"/>
  <c r="Q48" i="1"/>
  <c r="P48" i="1"/>
  <c r="J69" i="1"/>
  <c r="J71" i="1" s="1"/>
  <c r="L56" i="1"/>
  <c r="L55" i="1"/>
  <c r="L53" i="1"/>
  <c r="L51" i="1"/>
  <c r="C15" i="9"/>
  <c r="H71" i="1" l="1"/>
  <c r="AC31" i="1"/>
  <c r="I5" i="3"/>
  <c r="J5" i="3" s="1"/>
  <c r="K5" i="3" s="1"/>
  <c r="L5" i="3" s="1"/>
  <c r="M5" i="3" s="1"/>
  <c r="L57" i="1"/>
  <c r="L69" i="1" s="1"/>
  <c r="L71" i="1" s="1"/>
  <c r="H73" i="1"/>
  <c r="C9" i="3" s="1"/>
  <c r="C16" i="9"/>
  <c r="N56" i="1"/>
  <c r="N53" i="1"/>
  <c r="N55" i="1"/>
  <c r="N51" i="1"/>
  <c r="O49" i="1"/>
  <c r="Q42" i="1"/>
  <c r="P42" i="1"/>
  <c r="L72" i="1"/>
  <c r="N49" i="1"/>
  <c r="R48" i="1"/>
  <c r="S48" i="1"/>
  <c r="R46" i="1"/>
  <c r="S46" i="1"/>
  <c r="Q44" i="1"/>
  <c r="P44" i="1"/>
  <c r="W47" i="1"/>
  <c r="V47" i="1"/>
  <c r="F73" i="1" l="1"/>
  <c r="N4" i="3" s="1"/>
  <c r="O4" i="3" s="1"/>
  <c r="O5" i="3" s="1"/>
  <c r="AC33" i="1"/>
  <c r="N57" i="1"/>
  <c r="N69" i="1" s="1"/>
  <c r="Q49" i="1"/>
  <c r="R42" i="1"/>
  <c r="S42" i="1"/>
  <c r="D9" i="3"/>
  <c r="J73" i="1"/>
  <c r="D14" i="3"/>
  <c r="C11" i="5"/>
  <c r="D11" i="5" s="1"/>
  <c r="E11" i="5" s="1"/>
  <c r="F11" i="5" s="1"/>
  <c r="G11" i="5" s="1"/>
  <c r="H11" i="5" s="1"/>
  <c r="I11" i="5" s="1"/>
  <c r="J11" i="5" s="1"/>
  <c r="K11" i="5" s="1"/>
  <c r="L11" i="5" s="1"/>
  <c r="M11" i="5" s="1"/>
  <c r="N11" i="5" s="1"/>
  <c r="P55" i="1"/>
  <c r="C17" i="9"/>
  <c r="P53" i="1"/>
  <c r="P51" i="1"/>
  <c r="P56" i="1"/>
  <c r="Y47" i="1"/>
  <c r="X47" i="1"/>
  <c r="U48" i="1"/>
  <c r="T48" i="1"/>
  <c r="R44" i="1"/>
  <c r="S44" i="1"/>
  <c r="T46" i="1"/>
  <c r="U46" i="1"/>
  <c r="P49" i="1"/>
  <c r="N72" i="1"/>
  <c r="N5" i="3" l="1"/>
  <c r="C10" i="3" s="1"/>
  <c r="D10" i="3" s="1"/>
  <c r="N71" i="1"/>
  <c r="W48" i="1"/>
  <c r="V48" i="1"/>
  <c r="AA47" i="1"/>
  <c r="AB47" i="1" s="1"/>
  <c r="Z47" i="1"/>
  <c r="P57" i="1"/>
  <c r="P69" i="1" s="1"/>
  <c r="U42" i="1"/>
  <c r="T42" i="1"/>
  <c r="S49" i="1"/>
  <c r="V46" i="1"/>
  <c r="W46" i="1"/>
  <c r="U44" i="1"/>
  <c r="T44" i="1"/>
  <c r="R49" i="1"/>
  <c r="P72" i="1"/>
  <c r="R51" i="1"/>
  <c r="R56" i="1"/>
  <c r="R55" i="1"/>
  <c r="R53" i="1"/>
  <c r="C18" i="9"/>
  <c r="R57" i="1" l="1"/>
  <c r="P71" i="1"/>
  <c r="V44" i="1"/>
  <c r="W44" i="1"/>
  <c r="R69" i="1"/>
  <c r="R71" i="1" s="1"/>
  <c r="T55" i="1"/>
  <c r="T53" i="1"/>
  <c r="T51" i="1"/>
  <c r="T56" i="1"/>
  <c r="C19" i="9"/>
  <c r="X48" i="1"/>
  <c r="Y48" i="1"/>
  <c r="Y46" i="1"/>
  <c r="X46" i="1"/>
  <c r="L73" i="1"/>
  <c r="E14" i="3"/>
  <c r="E9" i="3"/>
  <c r="E10" i="3" s="1"/>
  <c r="R72" i="1"/>
  <c r="T49" i="1"/>
  <c r="U49" i="1"/>
  <c r="W42" i="1"/>
  <c r="V42" i="1"/>
  <c r="T57" i="1" l="1"/>
  <c r="T72" i="1"/>
  <c r="V49" i="1"/>
  <c r="G9" i="3"/>
  <c r="G14" i="3"/>
  <c r="P73" i="1"/>
  <c r="W49" i="1"/>
  <c r="Y42" i="1"/>
  <c r="X42" i="1"/>
  <c r="X44" i="1"/>
  <c r="Y44" i="1"/>
  <c r="T69" i="1"/>
  <c r="T71" i="1" s="1"/>
  <c r="Z46" i="1"/>
  <c r="AA46" i="1"/>
  <c r="AB46" i="1" s="1"/>
  <c r="Z48" i="1"/>
  <c r="AA48" i="1"/>
  <c r="AB48" i="1" s="1"/>
  <c r="V53" i="1"/>
  <c r="V51" i="1"/>
  <c r="V55" i="1"/>
  <c r="V56" i="1"/>
  <c r="F9" i="3"/>
  <c r="F10" i="3" s="1"/>
  <c r="F14" i="3"/>
  <c r="N73" i="1"/>
  <c r="G10" i="3" l="1"/>
  <c r="Z42" i="1"/>
  <c r="Y49" i="1"/>
  <c r="H9" i="3"/>
  <c r="R73" i="1"/>
  <c r="X49" i="1"/>
  <c r="V72" i="1"/>
  <c r="X55" i="1"/>
  <c r="X51" i="1"/>
  <c r="X56" i="1"/>
  <c r="X53" i="1"/>
  <c r="V57" i="1"/>
  <c r="Z44" i="1"/>
  <c r="AA44" i="1"/>
  <c r="AB44" i="1" s="1"/>
  <c r="AB49" i="1" s="1"/>
  <c r="AB69" i="1" l="1"/>
  <c r="V69" i="1"/>
  <c r="H10" i="3"/>
  <c r="V71" i="1"/>
  <c r="Z56" i="1"/>
  <c r="Z53" i="1"/>
  <c r="Z55" i="1"/>
  <c r="Z51" i="1"/>
  <c r="AA49" i="1"/>
  <c r="X57" i="1"/>
  <c r="X69" i="1" s="1"/>
  <c r="Z49" i="1"/>
  <c r="AC49" i="1" s="1"/>
  <c r="X72" i="1"/>
  <c r="AB71" i="1" l="1"/>
  <c r="Z57" i="1"/>
  <c r="X71" i="1"/>
  <c r="T73" i="1"/>
  <c r="I9" i="3"/>
  <c r="I10" i="3" s="1"/>
  <c r="Z69" i="1" l="1"/>
  <c r="AC57" i="1"/>
  <c r="V73" i="1"/>
  <c r="Z71" i="1" l="1"/>
  <c r="AC69" i="1"/>
  <c r="L9" i="3"/>
  <c r="AC71" i="1" l="1"/>
  <c r="J9" i="3"/>
  <c r="J10" i="3" s="1"/>
  <c r="K10" i="3" s="1"/>
  <c r="L10" i="3" s="1"/>
  <c r="M10" i="3" s="1"/>
  <c r="X73" i="1"/>
  <c r="N9" i="3"/>
  <c r="N10" i="3" l="1"/>
  <c r="C15" i="3" s="1"/>
  <c r="D15" i="3" s="1"/>
  <c r="E15" i="3" s="1"/>
  <c r="F15" i="3" s="1"/>
  <c r="G15" i="3" s="1"/>
  <c r="H15" i="3" s="1"/>
  <c r="I15" i="3" s="1"/>
  <c r="J15" i="3" s="1"/>
  <c r="K15" i="3" s="1"/>
  <c r="L15" i="3" s="1"/>
  <c r="M15" i="3" s="1"/>
  <c r="N15" i="3" s="1"/>
  <c r="O15" i="3" s="1"/>
  <c r="O10" i="3"/>
  <c r="O10" i="5" l="1"/>
  <c r="O11" i="5" l="1"/>
  <c r="Z73" i="1"/>
  <c r="Z72" i="1"/>
  <c r="AC34" i="1"/>
  <c r="AC3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<sst xmlns="http://schemas.openxmlformats.org/spreadsheetml/2006/main" count="570" uniqueCount="230">
  <si>
    <t>Jnrs</t>
  </si>
  <si>
    <t>Mids</t>
  </si>
  <si>
    <t>Seniors</t>
  </si>
  <si>
    <t>HODs</t>
  </si>
  <si>
    <t>Executives</t>
  </si>
  <si>
    <t>Admin</t>
  </si>
  <si>
    <t>Producers</t>
  </si>
  <si>
    <t>21/22</t>
  </si>
  <si>
    <t>24/25</t>
  </si>
  <si>
    <t>23/24</t>
  </si>
  <si>
    <t>Computer</t>
  </si>
  <si>
    <t>Consumables</t>
  </si>
  <si>
    <t>TOTALS</t>
  </si>
  <si>
    <t>Headcount</t>
  </si>
  <si>
    <t>Cost</t>
  </si>
  <si>
    <t>Costs</t>
  </si>
  <si>
    <t>Adjusted</t>
  </si>
  <si>
    <t>GRAND TOTAL</t>
  </si>
  <si>
    <t>Rent</t>
  </si>
  <si>
    <t>Power</t>
  </si>
  <si>
    <t>PL insurance</t>
  </si>
  <si>
    <t>Contents insurance</t>
  </si>
  <si>
    <t>Accounting</t>
  </si>
  <si>
    <t>Advertising &amp; Marketing</t>
  </si>
  <si>
    <t>Bank Fees  (incl stripe)</t>
  </si>
  <si>
    <t>Internet</t>
  </si>
  <si>
    <t>Legal Fees</t>
  </si>
  <si>
    <t>General Office Expenses</t>
  </si>
  <si>
    <t>Printing</t>
  </si>
  <si>
    <t xml:space="preserve">Subscriptions - general </t>
  </si>
  <si>
    <t>Salary &amp; wages</t>
  </si>
  <si>
    <t>Annual cost</t>
  </si>
  <si>
    <t>Annual wage / salary</t>
  </si>
  <si>
    <t>Anticipated overtime</t>
  </si>
  <si>
    <t>Statutory costs</t>
  </si>
  <si>
    <t>Rate</t>
  </si>
  <si>
    <r>
      <t>Superannuation guarantee</t>
    </r>
    <r>
      <rPr>
        <vertAlign val="superscript"/>
        <sz val="10"/>
        <color theme="1"/>
        <rFont val="Calibri"/>
        <family val="2"/>
        <scheme val="minor"/>
      </rPr>
      <t>i</t>
    </r>
  </si>
  <si>
    <r>
      <t>Workers compensation insurance</t>
    </r>
    <r>
      <rPr>
        <vertAlign val="superscript"/>
        <sz val="10"/>
        <color theme="1"/>
        <rFont val="Calibri"/>
        <family val="2"/>
        <scheme val="minor"/>
      </rPr>
      <t>ii</t>
    </r>
  </si>
  <si>
    <r>
      <t>Payroll tax (If applicable)</t>
    </r>
    <r>
      <rPr>
        <vertAlign val="superscript"/>
        <sz val="10"/>
        <color theme="1"/>
        <rFont val="Calibri"/>
        <family val="2"/>
        <scheme val="minor"/>
      </rPr>
      <t>iii</t>
    </r>
  </si>
  <si>
    <r>
      <t>Annual leave loading</t>
    </r>
    <r>
      <rPr>
        <vertAlign val="superscript"/>
        <sz val="10"/>
        <color theme="1"/>
        <rFont val="Calibri"/>
        <family val="2"/>
        <scheme val="minor"/>
      </rPr>
      <t>iv</t>
    </r>
  </si>
  <si>
    <r>
      <t>Long service leave provision</t>
    </r>
    <r>
      <rPr>
        <vertAlign val="superscript"/>
        <sz val="10"/>
        <color theme="1"/>
        <rFont val="Calibri"/>
        <family val="2"/>
        <scheme val="minor"/>
      </rPr>
      <t>v</t>
    </r>
  </si>
  <si>
    <t>Other costs</t>
  </si>
  <si>
    <t>Annual Cost</t>
  </si>
  <si>
    <t>Amenities</t>
  </si>
  <si>
    <t>Uniforms</t>
  </si>
  <si>
    <t>Telephone</t>
  </si>
  <si>
    <t>Office furniture</t>
  </si>
  <si>
    <t>Travel</t>
  </si>
  <si>
    <t>Tools / equipment</t>
  </si>
  <si>
    <t>Total annual employee cost</t>
  </si>
  <si>
    <t>Software/Subscriptions</t>
  </si>
  <si>
    <t>25/26</t>
  </si>
  <si>
    <t>22/23</t>
  </si>
  <si>
    <t>First Year</t>
  </si>
  <si>
    <t>Second year</t>
  </si>
  <si>
    <t>Third Year</t>
  </si>
  <si>
    <t>Honours</t>
  </si>
  <si>
    <t>Online Courses</t>
  </si>
  <si>
    <t>Intro Character Design</t>
  </si>
  <si>
    <t>Intro Concept Art</t>
  </si>
  <si>
    <t>Intro 3 D</t>
  </si>
  <si>
    <t>Intro 3 D animation</t>
  </si>
  <si>
    <t>Workshops</t>
  </si>
  <si>
    <t>Animation</t>
  </si>
  <si>
    <t>Other</t>
  </si>
  <si>
    <t>Value per head</t>
  </si>
  <si>
    <t>S2 22</t>
  </si>
  <si>
    <t>S1 23</t>
  </si>
  <si>
    <t>S2 23</t>
  </si>
  <si>
    <t>S1 22</t>
  </si>
  <si>
    <t>S1 24</t>
  </si>
  <si>
    <t>S2 24</t>
  </si>
  <si>
    <t>S1 25</t>
  </si>
  <si>
    <t>S2 25</t>
  </si>
  <si>
    <t>S1 26</t>
  </si>
  <si>
    <t>High Schools</t>
  </si>
  <si>
    <t>South Australia</t>
  </si>
  <si>
    <t>Victoria</t>
  </si>
  <si>
    <t>NSW</t>
  </si>
  <si>
    <t>Trinity College</t>
  </si>
  <si>
    <t>Woodcroft College</t>
  </si>
  <si>
    <t>Thebarton Snr College</t>
  </si>
  <si>
    <t>Southern Vales Christian College</t>
  </si>
  <si>
    <t>Monkeystack</t>
  </si>
  <si>
    <t>MPC Technicolor</t>
  </si>
  <si>
    <t>Ubisoft</t>
  </si>
  <si>
    <t>Balance</t>
  </si>
  <si>
    <t>Moonsinger</t>
  </si>
  <si>
    <t>Doom</t>
  </si>
  <si>
    <t>Herding Catterpillars</t>
  </si>
  <si>
    <t>Dooable World</t>
  </si>
  <si>
    <t>West Coral</t>
  </si>
  <si>
    <t>Void Spire</t>
  </si>
  <si>
    <t>Total Budget</t>
  </si>
  <si>
    <t>OUT</t>
  </si>
  <si>
    <t>TOTAL</t>
  </si>
  <si>
    <t>Production Rebate</t>
  </si>
  <si>
    <t>INVESTMENT</t>
  </si>
  <si>
    <t>Annual</t>
  </si>
  <si>
    <t>Daily</t>
  </si>
  <si>
    <t>Overheads</t>
  </si>
  <si>
    <t>Days</t>
  </si>
  <si>
    <t>Hard Costs</t>
  </si>
  <si>
    <t>Markup</t>
  </si>
  <si>
    <t>Grand Total</t>
  </si>
  <si>
    <t>Est</t>
  </si>
  <si>
    <t>Charged</t>
  </si>
  <si>
    <t>Staffing</t>
  </si>
  <si>
    <t>Subtotal</t>
  </si>
  <si>
    <t>Project:</t>
  </si>
  <si>
    <t>Client:</t>
  </si>
  <si>
    <t>Producer:</t>
  </si>
  <si>
    <t>Creative Lead:</t>
  </si>
  <si>
    <t>Concept</t>
  </si>
  <si>
    <t>Assets</t>
  </si>
  <si>
    <t>Anim</t>
  </si>
  <si>
    <t>Delivery</t>
  </si>
  <si>
    <t>Roles</t>
  </si>
  <si>
    <t>Discount / In-kind</t>
  </si>
  <si>
    <t>Client Contact:</t>
  </si>
  <si>
    <t>Modelling</t>
  </si>
  <si>
    <t>Sign-off Milestones</t>
  </si>
  <si>
    <t>Total</t>
  </si>
  <si>
    <t>Render</t>
  </si>
  <si>
    <t>Management</t>
  </si>
  <si>
    <t>Rigging</t>
  </si>
  <si>
    <t>Lighting</t>
  </si>
  <si>
    <t>FX</t>
  </si>
  <si>
    <t>Comp</t>
  </si>
  <si>
    <t>Rendering</t>
  </si>
  <si>
    <t>FTE</t>
  </si>
  <si>
    <t>Production</t>
  </si>
  <si>
    <t>Student #s</t>
  </si>
  <si>
    <t>Investment in, announce Melbourne '23</t>
  </si>
  <si>
    <t>Hiring offers out, starting in Feb</t>
  </si>
  <si>
    <t>Notes</t>
  </si>
  <si>
    <t>Current</t>
  </si>
  <si>
    <t>Add Margo</t>
  </si>
  <si>
    <t>Increasing staff as deal looks more likely</t>
  </si>
  <si>
    <t>Event</t>
  </si>
  <si>
    <t>Delivery - Herding Catterpillars</t>
  </si>
  <si>
    <t>SUB-TOTAL</t>
  </si>
  <si>
    <t>Adelaide</t>
  </si>
  <si>
    <t>Sydney</t>
  </si>
  <si>
    <t>Melbourne</t>
  </si>
  <si>
    <t>University</t>
  </si>
  <si>
    <t>Netflix's Moonsinger begins with milestone payment</t>
  </si>
  <si>
    <t>Begin Recruitment push, Bethesda POC deal confirmed</t>
  </si>
  <si>
    <t>Total Stage One staffing achieved</t>
  </si>
  <si>
    <t>Moonsinger Milestone payment 2</t>
  </si>
  <si>
    <t>Moonsinger Milestone payment 3</t>
  </si>
  <si>
    <t>Moonsinger Milestone payment 4</t>
  </si>
  <si>
    <t>Increased student numbers in Vic and NSW</t>
  </si>
  <si>
    <t>West Coral (feature film) greenlight and Milestone</t>
  </si>
  <si>
    <t>Increased recruitment based on West Corral pitch</t>
  </si>
  <si>
    <t>West Coral milestone.  Moonsinger s2 greenlight.</t>
  </si>
  <si>
    <t>New hires begin</t>
  </si>
  <si>
    <t>New student enrolments open for Vic/NSW. Sign leases</t>
  </si>
  <si>
    <t>CASH TOTAL</t>
  </si>
  <si>
    <t>GROSS TOTAL</t>
  </si>
  <si>
    <t>West Coral milestone. Moonsinger Game Greenlight.</t>
  </si>
  <si>
    <t>Increased recruitment based on Moonsinger Game pitch.</t>
  </si>
  <si>
    <t>Moonsinger Game</t>
  </si>
  <si>
    <t xml:space="preserve">Industry </t>
  </si>
  <si>
    <t>Examples</t>
  </si>
  <si>
    <t>Incl</t>
  </si>
  <si>
    <t>NB: Headcount - 2 x 1 FTE Jnrs, 4 x 0.5 FTE Jnrs, 2 x 1 FTE Mids</t>
  </si>
  <si>
    <t>Consolidation Payment</t>
  </si>
  <si>
    <t>NB: Consolidation Payment is a one-time IP and Copyright clearance payment, eliminating any perceived or agreed debt from the team involved to date.</t>
  </si>
  <si>
    <t>NB: Investment is planned in two trenches: private equity investment coming through in September, and Publishing Advance Payment between November '22 and March '23.</t>
  </si>
  <si>
    <t>Release</t>
  </si>
  <si>
    <t>QA</t>
  </si>
  <si>
    <t>Level 9</t>
  </si>
  <si>
    <t>Level 8</t>
  </si>
  <si>
    <t>Level 7</t>
  </si>
  <si>
    <t>Level 6</t>
  </si>
  <si>
    <t>Level 5</t>
  </si>
  <si>
    <t>Level 4</t>
  </si>
  <si>
    <t>Level 3</t>
  </si>
  <si>
    <t>Level 2</t>
  </si>
  <si>
    <t>Level 1</t>
  </si>
  <si>
    <t>Production Schedule</t>
  </si>
  <si>
    <t>NB: Out totals differ from Cash Burn breakdown as they Include rebates of 40% for Production</t>
  </si>
  <si>
    <t>(all remaining budget)</t>
  </si>
  <si>
    <t>Total Investment</t>
  </si>
  <si>
    <t>Publisher</t>
  </si>
  <si>
    <t>In</t>
  </si>
  <si>
    <t>Grants</t>
  </si>
  <si>
    <t>Annual Total</t>
  </si>
  <si>
    <t>Support</t>
  </si>
  <si>
    <t>Jnr</t>
  </si>
  <si>
    <t>Mid</t>
  </si>
  <si>
    <t>Snr</t>
  </si>
  <si>
    <t>Supe</t>
  </si>
  <si>
    <t>HoD</t>
  </si>
  <si>
    <t>Exec</t>
  </si>
  <si>
    <t>Head Count</t>
  </si>
  <si>
    <t>FTE / Project Length</t>
  </si>
  <si>
    <t>Project Length</t>
  </si>
  <si>
    <t>Months</t>
  </si>
  <si>
    <t>Team Size</t>
  </si>
  <si>
    <t>26/27</t>
  </si>
  <si>
    <t>Total Weekly employee cost</t>
  </si>
  <si>
    <t>Jan</t>
  </si>
  <si>
    <t>Feb</t>
  </si>
  <si>
    <t>Mar</t>
  </si>
  <si>
    <t>Apr</t>
  </si>
  <si>
    <t>May</t>
  </si>
  <si>
    <t>Jun</t>
  </si>
  <si>
    <t>Jul</t>
  </si>
  <si>
    <t>Aug</t>
  </si>
  <si>
    <t>Sep</t>
  </si>
  <si>
    <t>Oct</t>
  </si>
  <si>
    <t>Nov</t>
  </si>
  <si>
    <t>Dec</t>
  </si>
  <si>
    <t>Design</t>
  </si>
  <si>
    <t>Programming</t>
  </si>
  <si>
    <t>Rent (Monthly)</t>
  </si>
  <si>
    <t>NB: Adding a 5% increase in all costs each projected year allows for likely inflation and wage growth.</t>
  </si>
  <si>
    <t>Individual employee cost</t>
  </si>
  <si>
    <t>YEAR ONE</t>
  </si>
  <si>
    <t>YEAR TWO</t>
  </si>
  <si>
    <t>NB: Headcount changes as people come onboard.  The example shows production and programming from April.  For Art you'd likely begin with a design starting first, followed by assets, then animation.</t>
  </si>
  <si>
    <t>Grant</t>
  </si>
  <si>
    <t>NB: In this scenario, the planned final amount paid via grant falls after project completion, and too late to address the shortfall in October.  This can usually be addressed  in July by talking to the agency issuing the grant and making them aware you'll have a short fall and will need the funds earlier.</t>
  </si>
  <si>
    <t>Carried Over</t>
  </si>
  <si>
    <t>Cash Investment</t>
  </si>
  <si>
    <t>Own Cash</t>
  </si>
  <si>
    <t>Total Cost</t>
  </si>
  <si>
    <t>NB: Remaining balance can usually be allocated to Marketing or some other expense.  Again, this document is for your internal use, not for reporting to agencies.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</si>
</sst>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44" formatCode="_-&quot;$&quot;* #,##0.00_-;\-&quot;$&quot;* #,##0.00_-;_-&quot;$&quot;* &quot;-&quot;??_-;_-@_-"/>
    <numFmt numFmtId="43" formatCode="_-* #,##0.00_-;\-* #,##0.00_-;_-* &quot;-&quot;??_-;_-@_-"/>
    <numFmt numFmtId="164" formatCode="_-&quot;$&quot;* #,##0_-;\-&quot;$&quot;* #,##0_-;_-&quot;$&quot;* &quot;-&quot;??_-;_-@_-"/>
    <numFmt numFmtId="165" formatCode="_-&quot;$&quot;* #,##0.0_-;\-&quot;$&quot;* #,##0.0_-;_-&quot;$&quot;* &quot;-&quot;?_-;_-@_-"/>
    <numFmt numFmtId="166" formatCode="_-&quot;$&quot;* #,##0_-;\-&quot;$&quot;* #,##0_-;_-&quot;$&quot;* &quot;-&quot;?_-;_-@_-"/>
    <numFmt numFmtId="167" formatCode="mm/yy"/>
    <numFmt numFmtId="168" formatCode="0.0"/>
  </numFmts>
  <fonts count="29"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0"/>
      <color theme="1"/>
      <name val="Calibri"/>
      <family val="2"/>
      <scheme val="minor"/>
    </font>
    <font>
      <b/>
      <sz val="10"/>
      <color theme="0"/>
      <name val="Calibri"/>
      <family val="2"/>
      <scheme val="minor"/>
    </font>
    <font>
      <sz val="10"/>
      <name val="Calibri"/>
      <family val="2"/>
      <scheme val="minor"/>
    </font>
    <font>
      <sz val="9"/>
      <color theme="1"/>
      <name val="Calibri"/>
      <family val="2"/>
      <scheme val="minor"/>
    </font>
    <font>
      <vertAlign val="superscript"/>
      <sz val="10"/>
      <color theme="1"/>
      <name val="Calibri"/>
      <family val="2"/>
      <scheme val="minor"/>
    </font>
    <font>
      <b/>
      <sz val="10"/>
      <color theme="1"/>
      <name val="Calibri"/>
      <family val="2"/>
      <scheme val="minor"/>
    </font>
    <font>
      <b/>
      <sz val="14"/>
      <color theme="1"/>
      <name val="Calibri"/>
      <family val="2"/>
      <scheme val="minor"/>
    </font>
    <font>
      <sz val="8"/>
      <color theme="1"/>
      <name val="Calibri"/>
      <family val="2"/>
      <scheme val="minor"/>
    </font>
    <font>
      <i/>
      <sz val="11"/>
      <color theme="1"/>
      <name val="Calibri"/>
      <family val="2"/>
      <scheme val="minor"/>
    </font>
    <font>
      <sz val="11"/>
      <name val="Calibri"/>
      <family val="2"/>
      <scheme val="minor"/>
    </font>
    <font>
      <b/>
      <sz val="16"/>
      <name val="Calibri"/>
      <family val="2"/>
      <scheme val="minor"/>
    </font>
    <font>
      <b/>
      <sz val="14"/>
      <name val="Calibri"/>
      <family val="2"/>
      <scheme val="minor"/>
    </font>
    <font>
      <b/>
      <i/>
      <sz val="11"/>
      <color theme="1"/>
      <name val="Calibri"/>
      <family val="2"/>
      <scheme val="minor"/>
    </font>
    <font>
      <sz val="12"/>
      <color theme="1"/>
      <name val="Calibri"/>
      <family val="2"/>
      <scheme val="minor"/>
    </font>
    <font>
      <b/>
      <sz val="12"/>
      <color theme="1"/>
      <name val="Calibri"/>
      <family val="2"/>
      <scheme val="minor"/>
    </font>
    <font>
      <b/>
      <u/>
      <sz val="12"/>
      <color theme="1"/>
      <name val="Calibri"/>
      <family val="2"/>
      <scheme val="minor"/>
    </font>
    <font>
      <i/>
      <sz val="9"/>
      <color theme="1"/>
      <name val="Calibri"/>
      <family val="2"/>
      <scheme val="minor"/>
    </font>
    <font>
      <i/>
      <sz val="20"/>
      <color theme="1"/>
      <name val="Calibri"/>
      <family val="2"/>
      <scheme val="minor"/>
    </font>
    <font>
      <i/>
      <sz val="11"/>
      <name val="Calibri"/>
      <family val="2"/>
      <scheme val="minor"/>
    </font>
    <font>
      <sz val="8"/>
      <name val="Calibri"/>
      <family val="2"/>
      <scheme val="minor"/>
    </font>
    <font>
      <i/>
      <sz val="10"/>
      <name val="Calibri"/>
      <family val="2"/>
      <scheme val="minor"/>
    </font>
    <font>
      <sz val="11"/>
      <color theme="0"/>
      <name val="Calibri"/>
      <family val="2"/>
      <scheme val="minor"/>
    </font>
    <font>
      <b/>
      <sz val="20"/>
      <color theme="1"/>
      <name val="Calibri"/>
      <family val="2"/>
      <scheme val="minor"/>
    </font>
    <font>
      <b/>
      <sz val="16"/>
      <color theme="1"/>
      <name val="Calibri"/>
      <family val="2"/>
      <scheme val="minor"/>
    </font>
    <font>
      <b/>
      <i/>
      <sz val="11"/>
      <name val="Calibri"/>
      <family val="2"/>
      <scheme val="minor"/>
    </font>
  </fonts>
  <fills count="24">
    <fill>
      <patternFill patternType="none"/>
    </fill>
    <fill>
      <patternFill patternType="gray125"/>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E4E1DA"/>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2" tint="-0.249977111117893"/>
        <bgColor indexed="64"/>
      </patternFill>
    </fill>
    <fill>
      <patternFill patternType="solid">
        <fgColor theme="3" tint="0.79998168889431442"/>
        <bgColor indexed="64"/>
      </patternFill>
    </fill>
    <fill>
      <patternFill patternType="solid">
        <fgColor rgb="FFFF0000"/>
        <bgColor indexed="64"/>
      </patternFill>
    </fill>
    <fill>
      <patternFill patternType="solid">
        <fgColor theme="8"/>
        <bgColor indexed="64"/>
      </patternFill>
    </fill>
    <fill>
      <patternFill patternType="solid">
        <fgColor theme="7" tint="0.39997558519241921"/>
        <bgColor indexed="64"/>
      </patternFill>
    </fill>
    <fill>
      <patternFill patternType="solid">
        <fgColor rgb="FF92D050"/>
        <bgColor indexed="64"/>
      </patternFill>
    </fill>
    <fill>
      <patternFill patternType="solid">
        <fgColor rgb="FFFFFF00"/>
        <bgColor indexed="64"/>
      </patternFill>
    </fill>
    <fill>
      <patternFill patternType="solid">
        <fgColor theme="5" tint="0.39997558519241921"/>
        <bgColor indexed="64"/>
      </patternFill>
    </fill>
    <fill>
      <patternFill patternType="solid">
        <fgColor rgb="FFFFC000"/>
        <bgColor indexed="64"/>
      </patternFill>
    </fill>
  </fills>
  <borders count="46">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n">
        <color indexed="64"/>
      </left>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s>
  <cellStyleXfs count="4">
    <xf numFmtId="0" fontId="0"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cellStyleXfs>
  <cellXfs count="392">
    <xf numFmtId="0" fontId="0" fillId="0" borderId="0" xfId="0"/>
    <xf numFmtId="44" fontId="0" fillId="0" borderId="0" xfId="1" applyFont="1"/>
    <xf numFmtId="0" fontId="0" fillId="0" borderId="0" xfId="0" applyAlignment="1">
      <alignment horizontal="center"/>
    </xf>
    <xf numFmtId="1" fontId="0" fillId="0" borderId="0" xfId="1" applyNumberFormat="1" applyFont="1" applyAlignment="1">
      <alignment horizontal="center"/>
    </xf>
    <xf numFmtId="0" fontId="2" fillId="0" borderId="0" xfId="0" applyFont="1" applyAlignment="1">
      <alignment horizontal="center"/>
    </xf>
    <xf numFmtId="17" fontId="2" fillId="0" borderId="0" xfId="0" applyNumberFormat="1" applyFont="1" applyAlignment="1">
      <alignment horizontal="center"/>
    </xf>
    <xf numFmtId="44" fontId="0" fillId="0" borderId="0" xfId="0" applyNumberFormat="1"/>
    <xf numFmtId="6" fontId="0" fillId="0" borderId="0" xfId="0" applyNumberFormat="1"/>
    <xf numFmtId="49" fontId="2" fillId="0" borderId="2" xfId="0" applyNumberFormat="1" applyFont="1" applyBorder="1" applyAlignment="1">
      <alignment horizontal="center"/>
    </xf>
    <xf numFmtId="49" fontId="2" fillId="0" borderId="3" xfId="0" applyNumberFormat="1" applyFont="1" applyBorder="1" applyAlignment="1">
      <alignment horizontal="center"/>
    </xf>
    <xf numFmtId="165" fontId="0" fillId="0" borderId="3" xfId="0" applyNumberFormat="1" applyBorder="1"/>
    <xf numFmtId="0" fontId="2" fillId="0" borderId="8" xfId="0" applyFont="1" applyBorder="1" applyAlignment="1">
      <alignment horizontal="center"/>
    </xf>
    <xf numFmtId="164" fontId="0" fillId="0" borderId="8" xfId="1" applyNumberFormat="1" applyFont="1" applyBorder="1"/>
    <xf numFmtId="0" fontId="2" fillId="0" borderId="8" xfId="0" applyFont="1" applyBorder="1"/>
    <xf numFmtId="0" fontId="0" fillId="0" borderId="8" xfId="0" applyBorder="1"/>
    <xf numFmtId="6" fontId="0" fillId="0" borderId="8" xfId="0" applyNumberFormat="1" applyBorder="1"/>
    <xf numFmtId="0" fontId="2" fillId="0" borderId="9" xfId="0" applyFont="1" applyBorder="1"/>
    <xf numFmtId="1" fontId="2" fillId="0" borderId="10" xfId="1" applyNumberFormat="1" applyFont="1" applyBorder="1" applyAlignment="1">
      <alignment horizontal="center"/>
    </xf>
    <xf numFmtId="44" fontId="2" fillId="0" borderId="10" xfId="1" applyFont="1" applyBorder="1"/>
    <xf numFmtId="165" fontId="0" fillId="0" borderId="1" xfId="0" applyNumberFormat="1" applyBorder="1"/>
    <xf numFmtId="164" fontId="2" fillId="0" borderId="10" xfId="1" applyNumberFormat="1" applyFont="1" applyBorder="1"/>
    <xf numFmtId="49" fontId="2" fillId="2" borderId="2" xfId="0" applyNumberFormat="1" applyFont="1" applyFill="1" applyBorder="1" applyAlignment="1">
      <alignment horizontal="center"/>
    </xf>
    <xf numFmtId="49" fontId="2" fillId="2" borderId="3" xfId="0" applyNumberFormat="1" applyFont="1" applyFill="1" applyBorder="1" applyAlignment="1">
      <alignment horizontal="center"/>
    </xf>
    <xf numFmtId="0" fontId="0" fillId="2" borderId="3" xfId="0" applyFill="1" applyBorder="1"/>
    <xf numFmtId="164" fontId="2" fillId="2" borderId="1" xfId="1" applyNumberFormat="1" applyFont="1" applyFill="1" applyBorder="1"/>
    <xf numFmtId="164" fontId="0" fillId="0" borderId="6" xfId="1" applyNumberFormat="1" applyFont="1" applyBorder="1"/>
    <xf numFmtId="0" fontId="0" fillId="0" borderId="11" xfId="0" applyBorder="1" applyAlignment="1">
      <alignment horizontal="center"/>
    </xf>
    <xf numFmtId="44" fontId="0" fillId="0" borderId="11" xfId="0" applyNumberFormat="1" applyBorder="1"/>
    <xf numFmtId="0" fontId="0" fillId="0" borderId="11" xfId="0" applyBorder="1"/>
    <xf numFmtId="0" fontId="0" fillId="2" borderId="2" xfId="0" applyFill="1" applyBorder="1"/>
    <xf numFmtId="164" fontId="3" fillId="2" borderId="1" xfId="0" applyNumberFormat="1" applyFont="1" applyFill="1" applyBorder="1"/>
    <xf numFmtId="6" fontId="0" fillId="0" borderId="6" xfId="0" applyNumberFormat="1" applyBorder="1"/>
    <xf numFmtId="0" fontId="4" fillId="0" borderId="0" xfId="0" applyFont="1"/>
    <xf numFmtId="0" fontId="6" fillId="5" borderId="12" xfId="0" applyFont="1" applyFill="1" applyBorder="1" applyAlignment="1">
      <alignment horizontal="left" vertical="center"/>
    </xf>
    <xf numFmtId="164" fontId="6" fillId="0" borderId="13" xfId="1" applyNumberFormat="1" applyFont="1" applyBorder="1" applyAlignment="1" applyProtection="1">
      <alignment horizontal="left" vertical="center"/>
      <protection locked="0"/>
    </xf>
    <xf numFmtId="164" fontId="6" fillId="0" borderId="14" xfId="1" applyNumberFormat="1" applyFont="1" applyBorder="1" applyAlignment="1" applyProtection="1">
      <alignment horizontal="left" vertical="center"/>
      <protection locked="0"/>
    </xf>
    <xf numFmtId="10" fontId="6" fillId="0" borderId="14" xfId="0" applyNumberFormat="1" applyFont="1" applyBorder="1" applyAlignment="1" applyProtection="1">
      <alignment horizontal="center" vertical="center"/>
      <protection locked="0"/>
    </xf>
    <xf numFmtId="164" fontId="6" fillId="5" borderId="14" xfId="1" applyNumberFormat="1" applyFont="1" applyFill="1" applyBorder="1" applyAlignment="1" applyProtection="1">
      <alignment vertical="center"/>
    </xf>
    <xf numFmtId="10" fontId="6" fillId="0" borderId="14" xfId="1" applyNumberFormat="1" applyFont="1" applyBorder="1" applyAlignment="1" applyProtection="1">
      <alignment horizontal="center" vertical="center"/>
      <protection locked="0"/>
    </xf>
    <xf numFmtId="10" fontId="6" fillId="0" borderId="14" xfId="3" applyNumberFormat="1" applyFont="1" applyBorder="1" applyAlignment="1" applyProtection="1">
      <alignment horizontal="center" vertical="center"/>
      <protection locked="0"/>
    </xf>
    <xf numFmtId="10" fontId="6" fillId="5" borderId="0" xfId="3" applyNumberFormat="1" applyFont="1" applyFill="1" applyBorder="1" applyAlignment="1" applyProtection="1">
      <alignment vertical="center"/>
    </xf>
    <xf numFmtId="164" fontId="6" fillId="5" borderId="0" xfId="1" applyNumberFormat="1" applyFont="1" applyFill="1" applyBorder="1" applyAlignment="1" applyProtection="1">
      <alignment vertical="center"/>
    </xf>
    <xf numFmtId="0" fontId="6" fillId="5" borderId="0" xfId="3" applyNumberFormat="1" applyFont="1" applyFill="1" applyBorder="1" applyAlignment="1" applyProtection="1">
      <alignment vertical="center"/>
    </xf>
    <xf numFmtId="164" fontId="6" fillId="0" borderId="14" xfId="1" applyNumberFormat="1" applyFont="1" applyBorder="1" applyAlignment="1" applyProtection="1">
      <alignment vertical="center"/>
      <protection locked="0"/>
    </xf>
    <xf numFmtId="0" fontId="6" fillId="5" borderId="0" xfId="2" applyNumberFormat="1" applyFont="1" applyFill="1" applyBorder="1" applyAlignment="1" applyProtection="1">
      <alignment vertical="center"/>
    </xf>
    <xf numFmtId="0" fontId="2" fillId="0" borderId="10" xfId="0" applyFont="1" applyBorder="1"/>
    <xf numFmtId="0" fontId="2" fillId="0" borderId="0" xfId="0" applyFont="1"/>
    <xf numFmtId="0" fontId="0" fillId="0" borderId="17" xfId="0" applyBorder="1"/>
    <xf numFmtId="49" fontId="2" fillId="2" borderId="6" xfId="0" applyNumberFormat="1" applyFont="1" applyFill="1" applyBorder="1" applyAlignment="1">
      <alignment horizontal="center"/>
    </xf>
    <xf numFmtId="49" fontId="2" fillId="2" borderId="8" xfId="0" applyNumberFormat="1" applyFont="1" applyFill="1" applyBorder="1" applyAlignment="1">
      <alignment horizontal="center"/>
    </xf>
    <xf numFmtId="0" fontId="0" fillId="2" borderId="6" xfId="0" applyFill="1" applyBorder="1"/>
    <xf numFmtId="0" fontId="0" fillId="2" borderId="8" xfId="0" applyFill="1" applyBorder="1"/>
    <xf numFmtId="164" fontId="3" fillId="2" borderId="9" xfId="0" applyNumberFormat="1" applyFont="1" applyFill="1" applyBorder="1"/>
    <xf numFmtId="0" fontId="0" fillId="0" borderId="2" xfId="0" applyBorder="1"/>
    <xf numFmtId="0" fontId="0" fillId="0" borderId="3" xfId="0" applyBorder="1"/>
    <xf numFmtId="164" fontId="3" fillId="0" borderId="1" xfId="0" applyNumberFormat="1" applyFont="1" applyBorder="1"/>
    <xf numFmtId="164" fontId="2" fillId="0" borderId="1" xfId="1" applyNumberFormat="1" applyFont="1" applyBorder="1"/>
    <xf numFmtId="0" fontId="0" fillId="0" borderId="19" xfId="0" applyBorder="1" applyAlignment="1">
      <alignment horizontal="center"/>
    </xf>
    <xf numFmtId="0" fontId="4" fillId="0" borderId="5" xfId="0" applyFont="1" applyBorder="1" applyAlignment="1">
      <alignment horizontal="center"/>
    </xf>
    <xf numFmtId="0" fontId="4" fillId="0" borderId="7" xfId="0" applyFont="1" applyBorder="1" applyAlignment="1">
      <alignment horizontal="center"/>
    </xf>
    <xf numFmtId="0" fontId="2" fillId="0" borderId="15" xfId="0" applyFont="1" applyBorder="1" applyAlignment="1">
      <alignment horizontal="center"/>
    </xf>
    <xf numFmtId="0" fontId="0" fillId="0" borderId="3" xfId="0" applyBorder="1" applyAlignment="1">
      <alignment vertical="center"/>
    </xf>
    <xf numFmtId="0" fontId="0" fillId="0" borderId="4" xfId="0" applyBorder="1" applyAlignment="1">
      <alignment vertical="center"/>
    </xf>
    <xf numFmtId="0" fontId="2" fillId="0" borderId="4" xfId="0" applyFont="1" applyBorder="1"/>
    <xf numFmtId="0" fontId="4" fillId="0" borderId="3" xfId="0" applyFont="1" applyBorder="1"/>
    <xf numFmtId="0" fontId="2" fillId="0" borderId="1" xfId="0" applyFont="1" applyBorder="1"/>
    <xf numFmtId="0" fontId="2" fillId="0" borderId="11" xfId="0" applyFont="1" applyBorder="1" applyAlignment="1">
      <alignment horizontal="center"/>
    </xf>
    <xf numFmtId="0" fontId="4" fillId="0" borderId="0" xfId="0" applyFont="1" applyAlignment="1">
      <alignment horizontal="center"/>
    </xf>
    <xf numFmtId="0" fontId="2" fillId="0" borderId="3" xfId="0" applyFont="1" applyBorder="1"/>
    <xf numFmtId="0" fontId="11" fillId="0" borderId="0" xfId="0" applyFont="1"/>
    <xf numFmtId="0" fontId="9" fillId="0" borderId="0" xfId="0" applyFont="1"/>
    <xf numFmtId="0" fontId="9" fillId="0" borderId="3" xfId="0" applyFont="1" applyBorder="1"/>
    <xf numFmtId="164" fontId="2" fillId="0" borderId="6" xfId="1" applyNumberFormat="1" applyFont="1" applyBorder="1"/>
    <xf numFmtId="0" fontId="2" fillId="2" borderId="2" xfId="0" applyFont="1" applyFill="1" applyBorder="1"/>
    <xf numFmtId="0" fontId="2" fillId="2" borderId="6" xfId="0" applyFont="1" applyFill="1" applyBorder="1"/>
    <xf numFmtId="0" fontId="2" fillId="2" borderId="8" xfId="0" applyFont="1" applyFill="1" applyBorder="1"/>
    <xf numFmtId="0" fontId="2" fillId="0" borderId="2" xfId="0" applyFont="1" applyBorder="1" applyAlignment="1">
      <alignment vertical="center"/>
    </xf>
    <xf numFmtId="166" fontId="0" fillId="0" borderId="2" xfId="0" applyNumberFormat="1" applyBorder="1"/>
    <xf numFmtId="166" fontId="0" fillId="0" borderId="3" xfId="0" applyNumberFormat="1" applyBorder="1"/>
    <xf numFmtId="166" fontId="0" fillId="0" borderId="1" xfId="0" applyNumberFormat="1" applyBorder="1"/>
    <xf numFmtId="166" fontId="2" fillId="0" borderId="2" xfId="0" applyNumberFormat="1" applyFont="1" applyBorder="1"/>
    <xf numFmtId="166" fontId="2" fillId="0" borderId="3" xfId="0" applyNumberFormat="1" applyFont="1" applyBorder="1"/>
    <xf numFmtId="164" fontId="0" fillId="0" borderId="11" xfId="0" applyNumberFormat="1" applyBorder="1"/>
    <xf numFmtId="164" fontId="0" fillId="0" borderId="0" xfId="0" applyNumberFormat="1"/>
    <xf numFmtId="164" fontId="2" fillId="0" borderId="0" xfId="1" applyNumberFormat="1" applyFont="1" applyBorder="1" applyAlignment="1">
      <alignment horizontal="center"/>
    </xf>
    <xf numFmtId="164" fontId="3" fillId="2" borderId="1" xfId="1" applyNumberFormat="1" applyFont="1" applyFill="1" applyBorder="1"/>
    <xf numFmtId="164" fontId="0" fillId="0" borderId="1" xfId="1" applyNumberFormat="1" applyFont="1" applyBorder="1"/>
    <xf numFmtId="164" fontId="3" fillId="0" borderId="1" xfId="1" applyNumberFormat="1" applyFont="1" applyBorder="1"/>
    <xf numFmtId="164" fontId="3" fillId="2" borderId="9" xfId="1" applyNumberFormat="1" applyFont="1" applyFill="1" applyBorder="1"/>
    <xf numFmtId="164" fontId="2" fillId="0" borderId="0" xfId="0" applyNumberFormat="1" applyFont="1" applyAlignment="1">
      <alignment horizontal="center"/>
    </xf>
    <xf numFmtId="0" fontId="0" fillId="0" borderId="4" xfId="0" applyBorder="1"/>
    <xf numFmtId="164" fontId="10" fillId="0" borderId="1" xfId="1" applyNumberFormat="1" applyFont="1" applyBorder="1"/>
    <xf numFmtId="164" fontId="0" fillId="2" borderId="2" xfId="0" applyNumberFormat="1" applyFill="1" applyBorder="1"/>
    <xf numFmtId="164" fontId="0" fillId="2" borderId="3" xfId="0" applyNumberFormat="1" applyFill="1" applyBorder="1"/>
    <xf numFmtId="164" fontId="2" fillId="0" borderId="10" xfId="0" applyNumberFormat="1" applyFont="1" applyBorder="1"/>
    <xf numFmtId="167" fontId="0" fillId="0" borderId="0" xfId="0" applyNumberFormat="1" applyAlignment="1">
      <alignment horizontal="center" vertical="center"/>
    </xf>
    <xf numFmtId="167" fontId="10" fillId="0" borderId="2" xfId="0" applyNumberFormat="1" applyFont="1" applyBorder="1" applyAlignment="1">
      <alignment horizontal="center" vertical="center"/>
    </xf>
    <xf numFmtId="167" fontId="2" fillId="2" borderId="2" xfId="0" applyNumberFormat="1" applyFont="1" applyFill="1" applyBorder="1" applyAlignment="1">
      <alignment horizontal="center" vertical="center"/>
    </xf>
    <xf numFmtId="167" fontId="0" fillId="0" borderId="0" xfId="0" applyNumberFormat="1"/>
    <xf numFmtId="0" fontId="12" fillId="0" borderId="0" xfId="0" applyFont="1"/>
    <xf numFmtId="0" fontId="12" fillId="0" borderId="0" xfId="0" applyFont="1" applyAlignment="1">
      <alignment horizontal="center"/>
    </xf>
    <xf numFmtId="0" fontId="12" fillId="2" borderId="8" xfId="0" applyFont="1" applyFill="1" applyBorder="1"/>
    <xf numFmtId="164" fontId="3" fillId="0" borderId="14" xfId="1" applyNumberFormat="1" applyFont="1" applyBorder="1" applyAlignment="1">
      <alignment horizontal="center"/>
    </xf>
    <xf numFmtId="17" fontId="13" fillId="0" borderId="0" xfId="0" applyNumberFormat="1" applyFont="1" applyAlignment="1">
      <alignment horizontal="center"/>
    </xf>
    <xf numFmtId="17" fontId="13" fillId="6" borderId="0" xfId="0" applyNumberFormat="1" applyFont="1" applyFill="1" applyAlignment="1">
      <alignment horizontal="center"/>
    </xf>
    <xf numFmtId="17" fontId="3" fillId="8" borderId="0" xfId="0" applyNumberFormat="1" applyFont="1" applyFill="1" applyAlignment="1">
      <alignment horizontal="center"/>
    </xf>
    <xf numFmtId="164" fontId="13" fillId="0" borderId="0" xfId="1" applyNumberFormat="1" applyFont="1"/>
    <xf numFmtId="164" fontId="13" fillId="0" borderId="20" xfId="1" applyNumberFormat="1" applyFont="1" applyBorder="1"/>
    <xf numFmtId="164" fontId="3" fillId="8" borderId="0" xfId="1" applyNumberFormat="1" applyFont="1" applyFill="1" applyAlignment="1" applyProtection="1">
      <alignment horizontal="center"/>
    </xf>
    <xf numFmtId="164" fontId="15" fillId="8" borderId="14" xfId="1" applyNumberFormat="1" applyFont="1" applyFill="1" applyBorder="1" applyAlignment="1" applyProtection="1">
      <alignment horizontal="center"/>
    </xf>
    <xf numFmtId="164" fontId="3" fillId="0" borderId="0" xfId="1" applyNumberFormat="1" applyFont="1" applyAlignment="1" applyProtection="1">
      <alignment horizontal="center"/>
    </xf>
    <xf numFmtId="164" fontId="3" fillId="0" borderId="0" xfId="1" applyNumberFormat="1" applyFont="1" applyAlignment="1">
      <alignment horizontal="center"/>
    </xf>
    <xf numFmtId="167" fontId="13" fillId="0" borderId="0" xfId="1" applyNumberFormat="1" applyFont="1"/>
    <xf numFmtId="164" fontId="13" fillId="0" borderId="0" xfId="1" applyNumberFormat="1" applyFont="1" applyAlignment="1">
      <alignment horizontal="center"/>
    </xf>
    <xf numFmtId="9" fontId="12" fillId="0" borderId="8" xfId="3" applyFont="1" applyBorder="1"/>
    <xf numFmtId="1" fontId="4" fillId="0" borderId="0" xfId="0" applyNumberFormat="1" applyFont="1" applyAlignment="1">
      <alignment horizontal="center"/>
    </xf>
    <xf numFmtId="0" fontId="10" fillId="0" borderId="0" xfId="0" applyFont="1" applyAlignment="1">
      <alignment horizontal="center"/>
    </xf>
    <xf numFmtId="164" fontId="0" fillId="0" borderId="11" xfId="1" applyNumberFormat="1" applyFont="1" applyBorder="1"/>
    <xf numFmtId="164" fontId="0" fillId="0" borderId="0" xfId="1" applyNumberFormat="1" applyFont="1" applyBorder="1"/>
    <xf numFmtId="9" fontId="12" fillId="0" borderId="0" xfId="3" applyFont="1" applyBorder="1"/>
    <xf numFmtId="0" fontId="2" fillId="0" borderId="6" xfId="0" applyFont="1" applyBorder="1" applyAlignment="1">
      <alignment horizontal="center"/>
    </xf>
    <xf numFmtId="6" fontId="0" fillId="0" borderId="21" xfId="0" applyNumberFormat="1" applyBorder="1"/>
    <xf numFmtId="6" fontId="2" fillId="0" borderId="9" xfId="0" applyNumberFormat="1" applyFont="1" applyBorder="1"/>
    <xf numFmtId="168" fontId="0" fillId="0" borderId="11" xfId="1" applyNumberFormat="1" applyFont="1" applyBorder="1"/>
    <xf numFmtId="168" fontId="0" fillId="0" borderId="0" xfId="1" applyNumberFormat="1" applyFont="1" applyBorder="1"/>
    <xf numFmtId="164" fontId="0" fillId="0" borderId="10" xfId="0" applyNumberFormat="1" applyBorder="1"/>
    <xf numFmtId="9" fontId="16" fillId="0" borderId="0" xfId="0" applyNumberFormat="1" applyFont="1" applyAlignment="1">
      <alignment horizontal="center"/>
    </xf>
    <xf numFmtId="164" fontId="0" fillId="0" borderId="0" xfId="0" applyNumberFormat="1" applyAlignment="1">
      <alignment horizontal="center"/>
    </xf>
    <xf numFmtId="164" fontId="10" fillId="10" borderId="10" xfId="1" applyNumberFormat="1" applyFont="1" applyFill="1" applyBorder="1" applyAlignment="1">
      <alignment horizontal="left" indent="2"/>
    </xf>
    <xf numFmtId="164" fontId="0" fillId="11" borderId="10" xfId="0" applyNumberFormat="1" applyFill="1" applyBorder="1"/>
    <xf numFmtId="0" fontId="18" fillId="0" borderId="0" xfId="0" applyFont="1" applyAlignment="1">
      <alignment horizontal="center"/>
    </xf>
    <xf numFmtId="0" fontId="2" fillId="0" borderId="14" xfId="0" applyFont="1" applyBorder="1" applyAlignment="1">
      <alignment horizontal="center"/>
    </xf>
    <xf numFmtId="0" fontId="0" fillId="0" borderId="14" xfId="0" applyBorder="1"/>
    <xf numFmtId="164" fontId="10" fillId="0" borderId="14" xfId="1" applyNumberFormat="1" applyFont="1" applyBorder="1" applyAlignment="1">
      <alignment horizontal="left" indent="2"/>
    </xf>
    <xf numFmtId="0" fontId="17" fillId="0" borderId="14" xfId="0" applyFont="1" applyBorder="1" applyAlignment="1">
      <alignment horizontal="center"/>
    </xf>
    <xf numFmtId="0" fontId="18" fillId="0" borderId="0" xfId="0" applyFont="1" applyAlignment="1">
      <alignment horizontal="left"/>
    </xf>
    <xf numFmtId="0" fontId="17" fillId="0" borderId="16" xfId="0" applyFont="1" applyBorder="1" applyAlignment="1">
      <alignment horizontal="center"/>
    </xf>
    <xf numFmtId="0" fontId="0" fillId="0" borderId="16" xfId="0" applyBorder="1"/>
    <xf numFmtId="0" fontId="18" fillId="0" borderId="22" xfId="0" applyFont="1" applyBorder="1" applyAlignment="1">
      <alignment horizontal="center"/>
    </xf>
    <xf numFmtId="0" fontId="10" fillId="0" borderId="23" xfId="0" applyFont="1" applyBorder="1"/>
    <xf numFmtId="164" fontId="10" fillId="10" borderId="1" xfId="1" applyNumberFormat="1" applyFont="1" applyFill="1" applyBorder="1" applyAlignment="1">
      <alignment horizontal="left" indent="2"/>
    </xf>
    <xf numFmtId="17" fontId="2" fillId="0" borderId="2" xfId="0" applyNumberFormat="1" applyFont="1" applyBorder="1" applyAlignment="1">
      <alignment horizontal="center"/>
    </xf>
    <xf numFmtId="164" fontId="0" fillId="7" borderId="24" xfId="0" applyNumberFormat="1" applyFill="1" applyBorder="1"/>
    <xf numFmtId="17" fontId="2" fillId="0" borderId="16" xfId="0" applyNumberFormat="1" applyFont="1" applyBorder="1" applyAlignment="1">
      <alignment horizontal="center"/>
    </xf>
    <xf numFmtId="0" fontId="0" fillId="8" borderId="11" xfId="0" applyFill="1" applyBorder="1"/>
    <xf numFmtId="164" fontId="0" fillId="8" borderId="6" xfId="1" applyNumberFormat="1" applyFont="1" applyFill="1" applyBorder="1"/>
    <xf numFmtId="164" fontId="0" fillId="8" borderId="11" xfId="1" applyNumberFormat="1" applyFont="1" applyFill="1" applyBorder="1"/>
    <xf numFmtId="168" fontId="0" fillId="8" borderId="11" xfId="1" applyNumberFormat="1" applyFont="1" applyFill="1" applyBorder="1"/>
    <xf numFmtId="0" fontId="20" fillId="8" borderId="0" xfId="0" applyFont="1" applyFill="1" applyAlignment="1">
      <alignment horizontal="right"/>
    </xf>
    <xf numFmtId="164" fontId="0" fillId="8" borderId="8" xfId="1" applyNumberFormat="1" applyFont="1" applyFill="1" applyBorder="1"/>
    <xf numFmtId="164" fontId="0" fillId="8" borderId="0" xfId="1" applyNumberFormat="1" applyFont="1" applyFill="1" applyBorder="1"/>
    <xf numFmtId="168" fontId="0" fillId="8" borderId="0" xfId="1" applyNumberFormat="1" applyFont="1" applyFill="1" applyBorder="1"/>
    <xf numFmtId="0" fontId="0" fillId="6" borderId="0" xfId="0" applyFill="1"/>
    <xf numFmtId="164" fontId="0" fillId="6" borderId="8" xfId="1" applyNumberFormat="1" applyFont="1" applyFill="1" applyBorder="1"/>
    <xf numFmtId="164" fontId="0" fillId="6" borderId="11" xfId="1" applyNumberFormat="1" applyFont="1" applyFill="1" applyBorder="1"/>
    <xf numFmtId="168" fontId="0" fillId="6" borderId="11" xfId="1" applyNumberFormat="1" applyFont="1" applyFill="1" applyBorder="1"/>
    <xf numFmtId="0" fontId="20" fillId="6" borderId="0" xfId="0" applyFont="1" applyFill="1" applyAlignment="1">
      <alignment horizontal="right"/>
    </xf>
    <xf numFmtId="164" fontId="0" fillId="6" borderId="0" xfId="1" applyNumberFormat="1" applyFont="1" applyFill="1" applyBorder="1"/>
    <xf numFmtId="168" fontId="0" fillId="6" borderId="0" xfId="1" applyNumberFormat="1" applyFont="1" applyFill="1" applyBorder="1"/>
    <xf numFmtId="0" fontId="0" fillId="12" borderId="0" xfId="0" applyFill="1"/>
    <xf numFmtId="164" fontId="0" fillId="12" borderId="8" xfId="1" applyNumberFormat="1" applyFont="1" applyFill="1" applyBorder="1"/>
    <xf numFmtId="164" fontId="0" fillId="12" borderId="11" xfId="1" applyNumberFormat="1" applyFont="1" applyFill="1" applyBorder="1"/>
    <xf numFmtId="168" fontId="0" fillId="12" borderId="11" xfId="1" applyNumberFormat="1" applyFont="1" applyFill="1" applyBorder="1"/>
    <xf numFmtId="0" fontId="20" fillId="12" borderId="0" xfId="0" applyFont="1" applyFill="1" applyAlignment="1">
      <alignment horizontal="right"/>
    </xf>
    <xf numFmtId="164" fontId="0" fillId="12" borderId="0" xfId="1" applyNumberFormat="1" applyFont="1" applyFill="1" applyBorder="1"/>
    <xf numFmtId="168" fontId="0" fillId="12" borderId="0" xfId="1" applyNumberFormat="1" applyFont="1" applyFill="1" applyBorder="1"/>
    <xf numFmtId="0" fontId="0" fillId="13" borderId="0" xfId="0" applyFill="1"/>
    <xf numFmtId="164" fontId="0" fillId="13" borderId="8" xfId="1" applyNumberFormat="1" applyFont="1" applyFill="1" applyBorder="1"/>
    <xf numFmtId="164" fontId="0" fillId="13" borderId="11" xfId="1" applyNumberFormat="1" applyFont="1" applyFill="1" applyBorder="1"/>
    <xf numFmtId="168" fontId="0" fillId="13" borderId="11" xfId="1" applyNumberFormat="1" applyFont="1" applyFill="1" applyBorder="1"/>
    <xf numFmtId="0" fontId="20" fillId="13" borderId="0" xfId="0" applyFont="1" applyFill="1" applyAlignment="1">
      <alignment horizontal="right"/>
    </xf>
    <xf numFmtId="164" fontId="0" fillId="13" borderId="0" xfId="1" applyNumberFormat="1" applyFont="1" applyFill="1" applyBorder="1"/>
    <xf numFmtId="168" fontId="0" fillId="13" borderId="0" xfId="1" applyNumberFormat="1" applyFont="1" applyFill="1" applyBorder="1"/>
    <xf numFmtId="0" fontId="0" fillId="14" borderId="0" xfId="0" applyFill="1"/>
    <xf numFmtId="164" fontId="0" fillId="14" borderId="8" xfId="1" applyNumberFormat="1" applyFont="1" applyFill="1" applyBorder="1"/>
    <xf numFmtId="164" fontId="0" fillId="14" borderId="0" xfId="1" applyNumberFormat="1" applyFont="1" applyFill="1" applyBorder="1"/>
    <xf numFmtId="168" fontId="0" fillId="14" borderId="0" xfId="1" applyNumberFormat="1" applyFont="1" applyFill="1" applyBorder="1"/>
    <xf numFmtId="44" fontId="0" fillId="0" borderId="0" xfId="1" applyFont="1" applyBorder="1"/>
    <xf numFmtId="44" fontId="2" fillId="0" borderId="10" xfId="0" applyNumberFormat="1" applyFont="1" applyBorder="1"/>
    <xf numFmtId="164" fontId="0" fillId="0" borderId="2" xfId="0" applyNumberFormat="1" applyBorder="1"/>
    <xf numFmtId="164" fontId="0" fillId="0" borderId="3" xfId="0" applyNumberFormat="1" applyBorder="1"/>
    <xf numFmtId="164" fontId="0" fillId="0" borderId="0" xfId="1" applyNumberFormat="1" applyFont="1"/>
    <xf numFmtId="0" fontId="10" fillId="8" borderId="22" xfId="0" applyFont="1" applyFill="1" applyBorder="1" applyAlignment="1">
      <alignment horizontal="center"/>
    </xf>
    <xf numFmtId="0" fontId="10" fillId="8" borderId="1" xfId="0" applyFont="1" applyFill="1" applyBorder="1" applyAlignment="1">
      <alignment horizontal="center"/>
    </xf>
    <xf numFmtId="164" fontId="12" fillId="0" borderId="0" xfId="0" applyNumberFormat="1" applyFont="1"/>
    <xf numFmtId="9" fontId="12" fillId="0" borderId="3" xfId="3" applyFont="1" applyBorder="1"/>
    <xf numFmtId="164" fontId="2" fillId="0" borderId="2" xfId="1" applyNumberFormat="1" applyFont="1" applyBorder="1" applyAlignment="1">
      <alignment horizontal="center"/>
    </xf>
    <xf numFmtId="164" fontId="0" fillId="0" borderId="3" xfId="1" applyNumberFormat="1" applyFont="1" applyBorder="1"/>
    <xf numFmtId="166" fontId="2" fillId="0" borderId="1" xfId="0" applyNumberFormat="1" applyFont="1" applyBorder="1"/>
    <xf numFmtId="0" fontId="2" fillId="0" borderId="10" xfId="0" applyFont="1" applyBorder="1" applyAlignment="1">
      <alignment horizontal="center"/>
    </xf>
    <xf numFmtId="0" fontId="2" fillId="2" borderId="9" xfId="0" applyFont="1" applyFill="1" applyBorder="1"/>
    <xf numFmtId="164" fontId="2" fillId="0" borderId="0" xfId="0" applyNumberFormat="1" applyFont="1"/>
    <xf numFmtId="164" fontId="2" fillId="0" borderId="3" xfId="1" applyNumberFormat="1" applyFont="1" applyBorder="1"/>
    <xf numFmtId="0" fontId="12" fillId="0" borderId="3" xfId="0" applyFont="1" applyBorder="1"/>
    <xf numFmtId="164" fontId="12" fillId="0" borderId="3" xfId="1" applyNumberFormat="1" applyFont="1" applyBorder="1"/>
    <xf numFmtId="164" fontId="2" fillId="0" borderId="1" xfId="1" applyNumberFormat="1" applyFont="1" applyBorder="1" applyAlignment="1"/>
    <xf numFmtId="0" fontId="0" fillId="0" borderId="0" xfId="0" applyAlignment="1">
      <alignment horizontal="left"/>
    </xf>
    <xf numFmtId="0" fontId="0" fillId="0" borderId="28" xfId="0" applyBorder="1"/>
    <xf numFmtId="17" fontId="2" fillId="12" borderId="2" xfId="0" applyNumberFormat="1" applyFont="1" applyFill="1" applyBorder="1"/>
    <xf numFmtId="17" fontId="2" fillId="12" borderId="3" xfId="0" applyNumberFormat="1" applyFont="1" applyFill="1" applyBorder="1"/>
    <xf numFmtId="164" fontId="10" fillId="8" borderId="22" xfId="1" applyNumberFormat="1" applyFont="1" applyFill="1" applyBorder="1" applyAlignment="1">
      <alignment horizontal="center"/>
    </xf>
    <xf numFmtId="0" fontId="0" fillId="0" borderId="30" xfId="0" applyBorder="1"/>
    <xf numFmtId="0" fontId="0" fillId="0" borderId="31" xfId="0" applyBorder="1"/>
    <xf numFmtId="0" fontId="0" fillId="0" borderId="33" xfId="0" applyBorder="1"/>
    <xf numFmtId="17" fontId="2" fillId="12" borderId="35" xfId="0" applyNumberFormat="1" applyFont="1" applyFill="1" applyBorder="1"/>
    <xf numFmtId="0" fontId="0" fillId="0" borderId="36" xfId="0" applyBorder="1"/>
    <xf numFmtId="0" fontId="0" fillId="0" borderId="38" xfId="0" applyBorder="1"/>
    <xf numFmtId="0" fontId="0" fillId="0" borderId="37" xfId="0" applyBorder="1" applyAlignment="1">
      <alignment horizontal="center"/>
    </xf>
    <xf numFmtId="164" fontId="0" fillId="0" borderId="11" xfId="1" applyNumberFormat="1" applyFont="1" applyBorder="1" applyAlignment="1">
      <alignment horizontal="center"/>
    </xf>
    <xf numFmtId="164" fontId="0" fillId="0" borderId="0" xfId="1" applyNumberFormat="1" applyFont="1" applyBorder="1" applyAlignment="1">
      <alignment horizontal="center"/>
    </xf>
    <xf numFmtId="0" fontId="0" fillId="0" borderId="26" xfId="0" applyBorder="1" applyAlignment="1">
      <alignment horizontal="center"/>
    </xf>
    <xf numFmtId="164" fontId="0" fillId="0" borderId="37" xfId="1" applyNumberFormat="1" applyFont="1" applyBorder="1" applyAlignment="1">
      <alignment horizontal="center"/>
    </xf>
    <xf numFmtId="0" fontId="0" fillId="0" borderId="39" xfId="0" applyBorder="1" applyAlignment="1">
      <alignment horizontal="center"/>
    </xf>
    <xf numFmtId="164" fontId="0" fillId="0" borderId="0" xfId="1" applyNumberFormat="1" applyFont="1" applyAlignment="1">
      <alignment horizontal="center"/>
    </xf>
    <xf numFmtId="17" fontId="2" fillId="0" borderId="29" xfId="0" applyNumberFormat="1" applyFont="1" applyBorder="1" applyAlignment="1">
      <alignment horizontal="center"/>
    </xf>
    <xf numFmtId="17" fontId="2" fillId="0" borderId="0" xfId="0" applyNumberFormat="1" applyFont="1" applyAlignment="1">
      <alignment horizontal="left"/>
    </xf>
    <xf numFmtId="164" fontId="13" fillId="0" borderId="11" xfId="1" applyNumberFormat="1" applyFont="1" applyBorder="1"/>
    <xf numFmtId="164" fontId="13" fillId="0" borderId="40" xfId="1" applyNumberFormat="1" applyFont="1" applyBorder="1"/>
    <xf numFmtId="0" fontId="2" fillId="0" borderId="10" xfId="1" applyNumberFormat="1" applyFont="1" applyBorder="1" applyAlignment="1">
      <alignment horizontal="center"/>
    </xf>
    <xf numFmtId="1" fontId="0" fillId="0" borderId="32" xfId="0" applyNumberFormat="1" applyBorder="1" applyAlignment="1">
      <alignment horizontal="center"/>
    </xf>
    <xf numFmtId="1" fontId="0" fillId="0" borderId="26" xfId="0" applyNumberFormat="1" applyBorder="1" applyAlignment="1">
      <alignment horizontal="center"/>
    </xf>
    <xf numFmtId="164" fontId="3" fillId="15" borderId="7" xfId="1" applyNumberFormat="1" applyFont="1" applyFill="1" applyBorder="1" applyAlignment="1">
      <alignment horizontal="center"/>
    </xf>
    <xf numFmtId="17" fontId="13" fillId="0" borderId="21" xfId="0" applyNumberFormat="1" applyFont="1" applyBorder="1" applyAlignment="1">
      <alignment horizontal="center"/>
    </xf>
    <xf numFmtId="164" fontId="13" fillId="0" borderId="9" xfId="1" applyNumberFormat="1" applyFont="1" applyBorder="1" applyAlignment="1">
      <alignment horizontal="center"/>
    </xf>
    <xf numFmtId="164" fontId="3" fillId="0" borderId="11" xfId="1" applyNumberFormat="1" applyFont="1" applyBorder="1"/>
    <xf numFmtId="1" fontId="0" fillId="0" borderId="11" xfId="0" applyNumberFormat="1" applyBorder="1" applyAlignment="1">
      <alignment horizontal="center"/>
    </xf>
    <xf numFmtId="1" fontId="0" fillId="0" borderId="0" xfId="0" applyNumberFormat="1" applyAlignment="1">
      <alignment horizontal="center"/>
    </xf>
    <xf numFmtId="164" fontId="0" fillId="0" borderId="11" xfId="0" applyNumberFormat="1" applyBorder="1" applyAlignment="1">
      <alignment horizontal="center"/>
    </xf>
    <xf numFmtId="164" fontId="0" fillId="2" borderId="6" xfId="0" applyNumberFormat="1" applyFill="1" applyBorder="1"/>
    <xf numFmtId="164" fontId="0" fillId="2" borderId="8" xfId="0" applyNumberFormat="1" applyFill="1" applyBorder="1"/>
    <xf numFmtId="164" fontId="0" fillId="0" borderId="4" xfId="0" applyNumberFormat="1" applyBorder="1"/>
    <xf numFmtId="164" fontId="2" fillId="0" borderId="10" xfId="1" applyNumberFormat="1" applyFont="1" applyBorder="1" applyAlignment="1">
      <alignment horizontal="center"/>
    </xf>
    <xf numFmtId="164" fontId="4" fillId="0" borderId="0" xfId="0" applyNumberFormat="1" applyFont="1" applyAlignment="1">
      <alignment horizontal="center"/>
    </xf>
    <xf numFmtId="164" fontId="0" fillId="0" borderId="1" xfId="0" applyNumberFormat="1" applyBorder="1"/>
    <xf numFmtId="164" fontId="2" fillId="0" borderId="3" xfId="0" applyNumberFormat="1" applyFont="1" applyBorder="1"/>
    <xf numFmtId="164" fontId="2" fillId="2" borderId="6" xfId="0" applyNumberFormat="1" applyFont="1" applyFill="1" applyBorder="1"/>
    <xf numFmtId="164" fontId="22" fillId="0" borderId="0" xfId="1" applyNumberFormat="1" applyFont="1"/>
    <xf numFmtId="164" fontId="24" fillId="0" borderId="0" xfId="1" applyNumberFormat="1" applyFont="1"/>
    <xf numFmtId="164" fontId="13" fillId="0" borderId="5" xfId="1" applyNumberFormat="1" applyFont="1" applyBorder="1"/>
    <xf numFmtId="17" fontId="13" fillId="6" borderId="11" xfId="0" applyNumberFormat="1" applyFont="1" applyFill="1" applyBorder="1" applyAlignment="1">
      <alignment horizontal="center"/>
    </xf>
    <xf numFmtId="17" fontId="13" fillId="6" borderId="40" xfId="0" applyNumberFormat="1" applyFont="1" applyFill="1" applyBorder="1" applyAlignment="1">
      <alignment horizontal="center"/>
    </xf>
    <xf numFmtId="17" fontId="3" fillId="8" borderId="6" xfId="0" applyNumberFormat="1" applyFont="1" applyFill="1" applyBorder="1" applyAlignment="1">
      <alignment horizontal="center"/>
    </xf>
    <xf numFmtId="164" fontId="13" fillId="0" borderId="0" xfId="1" applyNumberFormat="1" applyFont="1" applyBorder="1"/>
    <xf numFmtId="164" fontId="3" fillId="0" borderId="41" xfId="1" applyNumberFormat="1" applyFont="1" applyBorder="1" applyAlignment="1">
      <alignment horizontal="center"/>
    </xf>
    <xf numFmtId="164" fontId="13" fillId="7" borderId="0" xfId="1" applyNumberFormat="1" applyFont="1" applyFill="1" applyBorder="1" applyAlignment="1">
      <alignment horizontal="center"/>
    </xf>
    <xf numFmtId="164" fontId="3" fillId="0" borderId="10" xfId="0" applyNumberFormat="1" applyFont="1" applyBorder="1"/>
    <xf numFmtId="0" fontId="0" fillId="0" borderId="7" xfId="0" applyBorder="1"/>
    <xf numFmtId="0" fontId="2" fillId="0" borderId="28" xfId="0" applyFont="1" applyBorder="1"/>
    <xf numFmtId="0" fontId="2" fillId="0" borderId="15" xfId="0" applyFont="1" applyBorder="1"/>
    <xf numFmtId="0" fontId="4" fillId="0" borderId="7" xfId="0" applyFont="1" applyBorder="1"/>
    <xf numFmtId="0" fontId="4" fillId="0" borderId="19" xfId="0" applyFont="1" applyBorder="1"/>
    <xf numFmtId="6" fontId="0" fillId="0" borderId="3" xfId="0" applyNumberFormat="1" applyBorder="1"/>
    <xf numFmtId="6" fontId="0" fillId="0" borderId="4" xfId="0" applyNumberFormat="1" applyBorder="1"/>
    <xf numFmtId="6" fontId="12" fillId="0" borderId="3" xfId="0" applyNumberFormat="1" applyFont="1" applyBorder="1"/>
    <xf numFmtId="164" fontId="3" fillId="7" borderId="43" xfId="1" applyNumberFormat="1" applyFont="1" applyFill="1" applyBorder="1" applyAlignment="1">
      <alignment horizontal="center"/>
    </xf>
    <xf numFmtId="17" fontId="13" fillId="6" borderId="5" xfId="0" applyNumberFormat="1" applyFont="1" applyFill="1" applyBorder="1" applyAlignment="1">
      <alignment horizontal="center"/>
    </xf>
    <xf numFmtId="17" fontId="13" fillId="6" borderId="6" xfId="0" applyNumberFormat="1" applyFont="1" applyFill="1" applyBorder="1" applyAlignment="1">
      <alignment horizontal="center"/>
    </xf>
    <xf numFmtId="164" fontId="13" fillId="0" borderId="7" xfId="1" applyNumberFormat="1" applyFont="1" applyBorder="1"/>
    <xf numFmtId="164" fontId="13" fillId="0" borderId="8" xfId="1" applyNumberFormat="1" applyFont="1" applyBorder="1"/>
    <xf numFmtId="164" fontId="3" fillId="0" borderId="44" xfId="1" applyNumberFormat="1" applyFont="1" applyBorder="1" applyAlignment="1">
      <alignment horizontal="center"/>
    </xf>
    <xf numFmtId="164" fontId="3" fillId="0" borderId="42" xfId="1" applyNumberFormat="1" applyFont="1" applyBorder="1" applyAlignment="1">
      <alignment horizontal="center"/>
    </xf>
    <xf numFmtId="164" fontId="13" fillId="0" borderId="6" xfId="1" applyNumberFormat="1" applyFont="1" applyBorder="1"/>
    <xf numFmtId="164" fontId="13" fillId="8" borderId="2" xfId="1" applyNumberFormat="1" applyFont="1" applyFill="1" applyBorder="1" applyAlignment="1" applyProtection="1">
      <alignment horizontal="center"/>
    </xf>
    <xf numFmtId="164" fontId="13" fillId="8" borderId="3" xfId="1" applyNumberFormat="1" applyFont="1" applyFill="1" applyBorder="1" applyAlignment="1" applyProtection="1">
      <alignment horizontal="center"/>
    </xf>
    <xf numFmtId="164" fontId="15" fillId="8" borderId="45" xfId="1" applyNumberFormat="1" applyFont="1" applyFill="1" applyBorder="1" applyAlignment="1" applyProtection="1">
      <alignment horizontal="center"/>
    </xf>
    <xf numFmtId="0" fontId="0" fillId="16" borderId="12" xfId="0" applyFill="1" applyBorder="1"/>
    <xf numFmtId="0" fontId="0" fillId="18" borderId="0" xfId="0" applyFill="1"/>
    <xf numFmtId="0" fontId="0" fillId="19" borderId="0" xfId="0" applyFill="1"/>
    <xf numFmtId="0" fontId="0" fillId="20" borderId="0" xfId="0" applyFill="1"/>
    <xf numFmtId="0" fontId="0" fillId="15" borderId="0" xfId="0" applyFill="1"/>
    <xf numFmtId="0" fontId="0" fillId="21" borderId="0" xfId="0" applyFill="1"/>
    <xf numFmtId="164" fontId="3" fillId="22" borderId="7" xfId="1" applyNumberFormat="1" applyFont="1" applyFill="1" applyBorder="1" applyAlignment="1">
      <alignment horizontal="left"/>
    </xf>
    <xf numFmtId="0" fontId="0" fillId="23" borderId="0" xfId="0" applyFill="1"/>
    <xf numFmtId="164" fontId="3" fillId="0" borderId="34" xfId="1" applyNumberFormat="1" applyFont="1" applyBorder="1" applyAlignment="1">
      <alignment horizontal="center"/>
    </xf>
    <xf numFmtId="164" fontId="3" fillId="0" borderId="18" xfId="1" applyNumberFormat="1" applyFont="1" applyBorder="1" applyAlignment="1">
      <alignment horizontal="center"/>
    </xf>
    <xf numFmtId="0" fontId="0" fillId="17" borderId="7" xfId="0" applyFill="1" applyBorder="1"/>
    <xf numFmtId="0" fontId="0" fillId="10" borderId="0" xfId="0" applyFill="1"/>
    <xf numFmtId="0" fontId="25" fillId="3" borderId="0" xfId="0" applyFont="1" applyFill="1"/>
    <xf numFmtId="164" fontId="13" fillId="0" borderId="19" xfId="1" applyNumberFormat="1" applyFont="1" applyBorder="1"/>
    <xf numFmtId="164" fontId="13" fillId="0" borderId="15" xfId="1" applyNumberFormat="1" applyFont="1" applyBorder="1"/>
    <xf numFmtId="17" fontId="0" fillId="0" borderId="0" xfId="0" applyNumberFormat="1" applyAlignment="1">
      <alignment horizontal="center"/>
    </xf>
    <xf numFmtId="49" fontId="2" fillId="0" borderId="0" xfId="0" applyNumberFormat="1" applyFont="1" applyAlignment="1">
      <alignment horizontal="center"/>
    </xf>
    <xf numFmtId="0" fontId="12" fillId="2" borderId="3" xfId="0" applyFont="1" applyFill="1" applyBorder="1"/>
    <xf numFmtId="164" fontId="3" fillId="0" borderId="3" xfId="0" applyNumberFormat="1" applyFont="1" applyBorder="1"/>
    <xf numFmtId="164" fontId="3" fillId="2" borderId="3" xfId="0" applyNumberFormat="1" applyFont="1" applyFill="1" applyBorder="1"/>
    <xf numFmtId="164" fontId="15" fillId="8" borderId="28" xfId="1" applyNumberFormat="1" applyFont="1" applyFill="1" applyBorder="1" applyAlignment="1" applyProtection="1">
      <alignment horizontal="center"/>
    </xf>
    <xf numFmtId="17" fontId="3" fillId="8" borderId="2" xfId="0" applyNumberFormat="1" applyFont="1" applyFill="1" applyBorder="1" applyAlignment="1">
      <alignment horizontal="center"/>
    </xf>
    <xf numFmtId="164" fontId="13" fillId="8" borderId="4" xfId="1" applyNumberFormat="1" applyFont="1" applyFill="1" applyBorder="1" applyAlignment="1" applyProtection="1">
      <alignment horizontal="center"/>
    </xf>
    <xf numFmtId="17" fontId="3" fillId="8" borderId="1" xfId="0" applyNumberFormat="1" applyFont="1" applyFill="1" applyBorder="1" applyAlignment="1">
      <alignment horizontal="center"/>
    </xf>
    <xf numFmtId="0" fontId="12" fillId="0" borderId="0" xfId="0" applyFont="1" applyAlignment="1">
      <alignment horizontal="left"/>
    </xf>
    <xf numFmtId="164" fontId="3" fillId="0" borderId="0" xfId="1" applyNumberFormat="1" applyFont="1"/>
    <xf numFmtId="44" fontId="22" fillId="0" borderId="0" xfId="1" applyFont="1" applyAlignment="1">
      <alignment horizontal="center"/>
    </xf>
    <xf numFmtId="164" fontId="22" fillId="0" borderId="0" xfId="1" applyNumberFormat="1" applyFont="1" applyAlignment="1">
      <alignment horizontal="center"/>
    </xf>
    <xf numFmtId="167" fontId="22" fillId="0" borderId="0" xfId="1" applyNumberFormat="1" applyFont="1" applyAlignment="1">
      <alignment horizontal="center"/>
    </xf>
    <xf numFmtId="0" fontId="10" fillId="0" borderId="11" xfId="0" applyFont="1" applyBorder="1" applyAlignment="1">
      <alignment horizontal="center"/>
    </xf>
    <xf numFmtId="0" fontId="5" fillId="3" borderId="15" xfId="0" applyFont="1" applyFill="1" applyBorder="1" applyAlignment="1">
      <alignment horizontal="left" vertical="center" indent="1"/>
    </xf>
    <xf numFmtId="0" fontId="5" fillId="3" borderId="15" xfId="0" applyFont="1" applyFill="1" applyBorder="1" applyAlignment="1">
      <alignment horizontal="right" vertical="center" indent="1"/>
    </xf>
    <xf numFmtId="164" fontId="9" fillId="5" borderId="41" xfId="0" applyNumberFormat="1" applyFont="1" applyFill="1" applyBorder="1" applyAlignment="1">
      <alignment vertical="center"/>
    </xf>
    <xf numFmtId="0" fontId="0" fillId="14" borderId="11" xfId="0" applyFill="1" applyBorder="1"/>
    <xf numFmtId="0" fontId="0" fillId="14" borderId="15" xfId="0" applyFill="1" applyBorder="1"/>
    <xf numFmtId="0" fontId="10" fillId="0" borderId="6" xfId="0" applyFont="1" applyBorder="1" applyAlignment="1">
      <alignment horizontal="center"/>
    </xf>
    <xf numFmtId="0" fontId="10" fillId="0" borderId="2" xfId="0" applyFont="1" applyBorder="1" applyAlignment="1">
      <alignment horizontal="center"/>
    </xf>
    <xf numFmtId="1" fontId="10" fillId="0" borderId="4" xfId="0" applyNumberFormat="1" applyFont="1" applyBorder="1" applyAlignment="1">
      <alignment horizontal="center"/>
    </xf>
    <xf numFmtId="164" fontId="10" fillId="0" borderId="28" xfId="1" applyNumberFormat="1" applyFont="1" applyBorder="1" applyAlignment="1">
      <alignment horizontal="center"/>
    </xf>
    <xf numFmtId="0" fontId="26" fillId="14" borderId="5" xfId="0" applyFont="1" applyFill="1" applyBorder="1" applyAlignment="1">
      <alignment horizontal="center" vertical="center"/>
    </xf>
    <xf numFmtId="0" fontId="10" fillId="0" borderId="11" xfId="0" applyFont="1" applyBorder="1"/>
    <xf numFmtId="0" fontId="0" fillId="14" borderId="6" xfId="0" applyFill="1" applyBorder="1"/>
    <xf numFmtId="0" fontId="26" fillId="14" borderId="7" xfId="0" applyFont="1" applyFill="1" applyBorder="1" applyAlignment="1">
      <alignment horizontal="center" vertical="center"/>
    </xf>
    <xf numFmtId="0" fontId="5" fillId="3" borderId="0" xfId="0" applyFont="1" applyFill="1" applyAlignment="1">
      <alignment vertical="center"/>
    </xf>
    <xf numFmtId="0" fontId="5" fillId="3" borderId="0" xfId="0" applyFont="1" applyFill="1" applyAlignment="1">
      <alignment horizontal="right" vertical="center"/>
    </xf>
    <xf numFmtId="0" fontId="5" fillId="3" borderId="0" xfId="0" applyFont="1" applyFill="1" applyAlignment="1">
      <alignment horizontal="right" vertical="center" indent="1"/>
    </xf>
    <xf numFmtId="0" fontId="0" fillId="14" borderId="8" xfId="0" applyFill="1" applyBorder="1"/>
    <xf numFmtId="0" fontId="4" fillId="4" borderId="0" xfId="0" applyFont="1" applyFill="1" applyAlignment="1">
      <alignment horizontal="right" vertical="center" indent="1"/>
    </xf>
    <xf numFmtId="0" fontId="6" fillId="5" borderId="0" xfId="0" applyFont="1" applyFill="1" applyAlignment="1">
      <alignment horizontal="left" vertical="center"/>
    </xf>
    <xf numFmtId="0" fontId="7" fillId="4" borderId="0" xfId="0" applyFont="1" applyFill="1" applyAlignment="1">
      <alignment horizontal="right" vertical="center" indent="1"/>
    </xf>
    <xf numFmtId="0" fontId="5" fillId="3" borderId="0" xfId="0" applyFont="1" applyFill="1" applyAlignment="1">
      <alignment horizontal="left" vertical="center" indent="1"/>
    </xf>
    <xf numFmtId="0" fontId="5" fillId="3" borderId="0" xfId="0" applyFont="1" applyFill="1" applyAlignment="1">
      <alignment horizontal="center" vertical="center"/>
    </xf>
    <xf numFmtId="0" fontId="6" fillId="5" borderId="0" xfId="0" applyFont="1" applyFill="1" applyAlignment="1">
      <alignment vertical="center"/>
    </xf>
    <xf numFmtId="0" fontId="4" fillId="14" borderId="0" xfId="0" applyFont="1" applyFill="1" applyAlignment="1">
      <alignment vertical="center"/>
    </xf>
    <xf numFmtId="44" fontId="9" fillId="0" borderId="1" xfId="1" applyFont="1" applyBorder="1" applyAlignment="1">
      <alignment horizontal="center" vertical="center"/>
    </xf>
    <xf numFmtId="0" fontId="0" fillId="14" borderId="28" xfId="0" applyFill="1" applyBorder="1"/>
    <xf numFmtId="43" fontId="0" fillId="0" borderId="0" xfId="0" applyNumberFormat="1"/>
    <xf numFmtId="168" fontId="6" fillId="0" borderId="14" xfId="1" applyNumberFormat="1" applyFont="1" applyBorder="1" applyAlignment="1" applyProtection="1">
      <alignment horizontal="center" vertical="center"/>
      <protection locked="0"/>
    </xf>
    <xf numFmtId="168" fontId="0" fillId="14" borderId="0" xfId="0" applyNumberFormat="1" applyFill="1" applyAlignment="1">
      <alignment horizontal="center"/>
    </xf>
    <xf numFmtId="43" fontId="6" fillId="0" borderId="0" xfId="2" applyFont="1" applyBorder="1" applyAlignment="1" applyProtection="1">
      <alignment horizontal="left" vertical="center"/>
      <protection locked="0"/>
    </xf>
    <xf numFmtId="0" fontId="18" fillId="14" borderId="7" xfId="0" applyFont="1" applyFill="1" applyBorder="1" applyAlignment="1">
      <alignment horizontal="center" vertical="center"/>
    </xf>
    <xf numFmtId="168" fontId="6" fillId="5" borderId="0" xfId="0" applyNumberFormat="1" applyFont="1" applyFill="1" applyAlignment="1">
      <alignment horizontal="left" vertical="center"/>
    </xf>
    <xf numFmtId="17" fontId="14" fillId="9" borderId="7" xfId="0" applyNumberFormat="1" applyFont="1" applyFill="1" applyBorder="1" applyAlignment="1">
      <alignment horizontal="center" vertical="center"/>
    </xf>
    <xf numFmtId="17" fontId="14" fillId="9" borderId="19" xfId="0" applyNumberFormat="1" applyFont="1" applyFill="1" applyBorder="1" applyAlignment="1">
      <alignment horizontal="center" vertical="center"/>
    </xf>
    <xf numFmtId="0" fontId="2" fillId="0" borderId="2" xfId="0" applyFont="1" applyBorder="1" applyAlignment="1">
      <alignment horizontal="center" vertical="center" textRotation="90"/>
    </xf>
    <xf numFmtId="0" fontId="2" fillId="0" borderId="3" xfId="0" applyFont="1" applyBorder="1" applyAlignment="1">
      <alignment horizontal="center" vertical="center" textRotation="90"/>
    </xf>
    <xf numFmtId="0" fontId="2" fillId="0" borderId="4" xfId="0" applyFont="1" applyBorder="1" applyAlignment="1">
      <alignment horizontal="center" vertical="center" textRotation="90"/>
    </xf>
    <xf numFmtId="49" fontId="10" fillId="0" borderId="2" xfId="0" applyNumberFormat="1" applyFont="1" applyBorder="1" applyAlignment="1">
      <alignment horizontal="center" vertical="center"/>
    </xf>
    <xf numFmtId="49" fontId="10" fillId="0" borderId="4" xfId="0" applyNumberFormat="1" applyFont="1" applyBorder="1" applyAlignment="1">
      <alignment horizontal="center" vertical="center"/>
    </xf>
    <xf numFmtId="0" fontId="2" fillId="0" borderId="0" xfId="0" applyFont="1" applyAlignment="1">
      <alignment horizontal="center" wrapText="1"/>
    </xf>
    <xf numFmtId="0" fontId="2" fillId="0" borderId="15" xfId="0" applyFont="1" applyBorder="1" applyAlignment="1">
      <alignment horizontal="center" wrapText="1"/>
    </xf>
    <xf numFmtId="0" fontId="26" fillId="0" borderId="2" xfId="0" applyFont="1" applyBorder="1" applyAlignment="1">
      <alignment horizontal="center" vertical="center" textRotation="255"/>
    </xf>
    <xf numFmtId="0" fontId="26" fillId="0" borderId="3" xfId="0" applyFont="1" applyBorder="1" applyAlignment="1">
      <alignment horizontal="center" vertical="center" textRotation="255"/>
    </xf>
    <xf numFmtId="0" fontId="26" fillId="0" borderId="4" xfId="0" applyFont="1" applyBorder="1" applyAlignment="1">
      <alignment horizontal="center" vertical="center" textRotation="255"/>
    </xf>
    <xf numFmtId="9" fontId="21" fillId="0" borderId="25" xfId="3" applyFont="1" applyBorder="1" applyAlignment="1">
      <alignment horizontal="center" vertical="center" wrapText="1"/>
    </xf>
    <xf numFmtId="9" fontId="21" fillId="0" borderId="26" xfId="3" applyFont="1" applyBorder="1" applyAlignment="1">
      <alignment horizontal="center" vertical="center" wrapText="1"/>
    </xf>
    <xf numFmtId="9" fontId="21" fillId="0" borderId="27" xfId="3" applyFont="1" applyBorder="1" applyAlignment="1">
      <alignment horizontal="center" vertical="center" wrapText="1"/>
    </xf>
    <xf numFmtId="0" fontId="19" fillId="0" borderId="14" xfId="0" applyFont="1" applyBorder="1" applyAlignment="1">
      <alignment horizontal="center"/>
    </xf>
    <xf numFmtId="17" fontId="0" fillId="0" borderId="24" xfId="0" applyNumberFormat="1" applyBorder="1" applyAlignment="1">
      <alignment horizontal="center" wrapText="1"/>
    </xf>
    <xf numFmtId="0" fontId="10" fillId="0" borderId="0" xfId="0" applyFont="1" applyAlignment="1">
      <alignment horizontal="left"/>
    </xf>
    <xf numFmtId="0" fontId="18" fillId="0" borderId="0" xfId="0" applyFont="1" applyAlignment="1">
      <alignment horizontal="left"/>
    </xf>
    <xf numFmtId="0" fontId="18" fillId="0" borderId="12" xfId="0" applyFont="1" applyBorder="1" applyAlignment="1">
      <alignment horizontal="left"/>
    </xf>
    <xf numFmtId="0" fontId="27" fillId="0" borderId="0" xfId="0" applyFont="1" applyAlignment="1">
      <alignment horizontal="center" vertical="center" textRotation="255"/>
    </xf>
    <xf numFmtId="0" fontId="27" fillId="0" borderId="0" xfId="0" applyFont="1" applyAlignment="1">
      <alignment vertical="center" textRotation="255"/>
    </xf>
    <xf numFmtId="0" fontId="0" fillId="0" borderId="28" xfId="0" applyFont="1" applyBorder="1"/>
    <xf numFmtId="0" fontId="0" fillId="0" borderId="0" xfId="0" applyFont="1" applyAlignment="1">
      <alignment horizontal="left"/>
    </xf>
    <xf numFmtId="0" fontId="0" fillId="0" borderId="3" xfId="0" applyFont="1" applyBorder="1"/>
    <xf numFmtId="166" fontId="0" fillId="0" borderId="3" xfId="0" applyNumberFormat="1" applyFont="1" applyBorder="1"/>
    <xf numFmtId="0" fontId="0" fillId="0" borderId="0" xfId="0" applyFont="1" applyAlignment="1">
      <alignment horizontal="center"/>
    </xf>
    <xf numFmtId="0" fontId="0" fillId="2" borderId="8" xfId="0" applyFont="1" applyFill="1" applyBorder="1"/>
    <xf numFmtId="0" fontId="0" fillId="0" borderId="0" xfId="0" applyFont="1"/>
    <xf numFmtId="0" fontId="0" fillId="0" borderId="7" xfId="0" applyFont="1" applyBorder="1"/>
    <xf numFmtId="164" fontId="2" fillId="0" borderId="10" xfId="0" applyNumberFormat="1" applyFont="1" applyBorder="1" applyAlignment="1">
      <alignment horizontal="center"/>
    </xf>
    <xf numFmtId="164" fontId="2" fillId="0" borderId="1" xfId="1" applyNumberFormat="1" applyFont="1" applyBorder="1" applyAlignment="1">
      <alignment horizontal="center"/>
    </xf>
    <xf numFmtId="164" fontId="0" fillId="0" borderId="0" xfId="0" applyNumberFormat="1" applyFont="1" applyAlignment="1">
      <alignment horizontal="center"/>
    </xf>
    <xf numFmtId="164" fontId="0" fillId="0" borderId="3" xfId="1" applyNumberFormat="1" applyFont="1" applyBorder="1" applyAlignment="1">
      <alignment horizontal="center"/>
    </xf>
    <xf numFmtId="44" fontId="2" fillId="0" borderId="10" xfId="1" applyFont="1" applyBorder="1" applyAlignment="1">
      <alignment horizontal="center"/>
    </xf>
    <xf numFmtId="164" fontId="3" fillId="0" borderId="10" xfId="0" applyNumberFormat="1" applyFont="1" applyBorder="1" applyAlignment="1">
      <alignment horizontal="center"/>
    </xf>
    <xf numFmtId="164" fontId="2" fillId="0" borderId="3" xfId="1" applyNumberFormat="1" applyFont="1" applyBorder="1" applyAlignment="1">
      <alignment horizontal="center"/>
    </xf>
    <xf numFmtId="164" fontId="12" fillId="0" borderId="0" xfId="0" applyNumberFormat="1" applyFont="1" applyAlignment="1">
      <alignment horizontal="center"/>
    </xf>
    <xf numFmtId="164" fontId="12" fillId="0" borderId="3" xfId="1" applyNumberFormat="1" applyFont="1" applyBorder="1" applyAlignment="1">
      <alignment horizontal="center"/>
    </xf>
    <xf numFmtId="0" fontId="0" fillId="0" borderId="7" xfId="0" applyFont="1" applyBorder="1" applyAlignment="1">
      <alignment horizontal="left"/>
    </xf>
    <xf numFmtId="0" fontId="0" fillId="0" borderId="8" xfId="0" applyFont="1" applyBorder="1" applyAlignment="1">
      <alignment horizontal="left"/>
    </xf>
    <xf numFmtId="0" fontId="0" fillId="7" borderId="0" xfId="0" applyFont="1" applyFill="1"/>
    <xf numFmtId="0" fontId="0" fillId="7" borderId="0" xfId="0" applyFont="1" applyFill="1" applyAlignment="1">
      <alignment horizontal="center"/>
    </xf>
    <xf numFmtId="164" fontId="0" fillId="7" borderId="0" xfId="1" applyNumberFormat="1" applyFont="1" applyFill="1" applyAlignment="1">
      <alignment horizontal="center"/>
    </xf>
    <xf numFmtId="164" fontId="12" fillId="0" borderId="0" xfId="1" applyNumberFormat="1" applyFont="1" applyBorder="1" applyAlignment="1">
      <alignment horizontal="center"/>
    </xf>
    <xf numFmtId="17" fontId="12" fillId="0" borderId="29" xfId="0" applyNumberFormat="1" applyFont="1" applyBorder="1" applyAlignment="1">
      <alignment horizontal="center"/>
    </xf>
    <xf numFmtId="17" fontId="12" fillId="0" borderId="0" xfId="0" applyNumberFormat="1" applyFont="1" applyAlignment="1">
      <alignment horizontal="center"/>
    </xf>
    <xf numFmtId="0" fontId="12" fillId="0" borderId="10" xfId="0" applyFont="1" applyBorder="1" applyAlignment="1">
      <alignment horizontal="center"/>
    </xf>
    <xf numFmtId="164" fontId="12" fillId="0" borderId="10" xfId="0" applyNumberFormat="1" applyFont="1" applyBorder="1" applyAlignment="1">
      <alignment horizontal="center"/>
    </xf>
    <xf numFmtId="1" fontId="12" fillId="0" borderId="10" xfId="1" applyNumberFormat="1" applyFont="1" applyBorder="1" applyAlignment="1">
      <alignment horizontal="center"/>
    </xf>
    <xf numFmtId="44" fontId="12" fillId="0" borderId="10" xfId="1" applyFont="1" applyBorder="1" applyAlignment="1">
      <alignment horizontal="center"/>
    </xf>
    <xf numFmtId="164" fontId="22" fillId="0" borderId="10" xfId="0" applyNumberFormat="1" applyFont="1" applyBorder="1" applyAlignment="1">
      <alignment horizontal="center"/>
    </xf>
    <xf numFmtId="164" fontId="22" fillId="0" borderId="0" xfId="1" applyNumberFormat="1" applyFont="1" applyBorder="1"/>
    <xf numFmtId="17" fontId="14" fillId="9" borderId="2" xfId="0" applyNumberFormat="1" applyFont="1" applyFill="1" applyBorder="1" applyAlignment="1">
      <alignment horizontal="center" vertical="center"/>
    </xf>
    <xf numFmtId="17" fontId="14" fillId="9" borderId="3" xfId="0" applyNumberFormat="1" applyFont="1" applyFill="1" applyBorder="1" applyAlignment="1">
      <alignment horizontal="center" vertical="center"/>
    </xf>
    <xf numFmtId="17" fontId="14" fillId="9" borderId="4" xfId="0" applyNumberFormat="1" applyFont="1" applyFill="1" applyBorder="1" applyAlignment="1">
      <alignment horizontal="center" vertical="center"/>
    </xf>
    <xf numFmtId="164" fontId="28" fillId="8" borderId="0" xfId="1" applyNumberFormat="1" applyFont="1" applyFill="1" applyAlignment="1" applyProtection="1">
      <alignment horizontal="center"/>
    </xf>
    <xf numFmtId="49" fontId="22" fillId="0" borderId="0" xfId="1" quotePrefix="1" applyNumberFormat="1" applyFont="1" applyAlignment="1">
      <alignment horizontal="left" vertical="center" wrapText="1"/>
    </xf>
    <xf numFmtId="164" fontId="3" fillId="0" borderId="13" xfId="1" applyNumberFormat="1" applyFont="1" applyBorder="1" applyAlignment="1">
      <alignment horizontal="center"/>
    </xf>
    <xf numFmtId="164" fontId="3" fillId="15" borderId="2" xfId="1" applyNumberFormat="1" applyFont="1" applyFill="1" applyBorder="1" applyAlignment="1">
      <alignment horizontal="center" vertical="center"/>
    </xf>
    <xf numFmtId="164" fontId="3" fillId="15" borderId="3" xfId="1" applyNumberFormat="1" applyFont="1" applyFill="1" applyBorder="1" applyAlignment="1">
      <alignment horizontal="center" vertical="center"/>
    </xf>
    <xf numFmtId="164" fontId="3" fillId="7" borderId="3" xfId="1" applyNumberFormat="1" applyFont="1" applyFill="1" applyBorder="1" applyAlignment="1">
      <alignment horizontal="center"/>
    </xf>
    <xf numFmtId="164" fontId="3" fillId="7" borderId="45" xfId="1" applyNumberFormat="1" applyFont="1" applyFill="1" applyBorder="1" applyAlignment="1">
      <alignment horizontal="center"/>
    </xf>
    <xf numFmtId="167" fontId="22" fillId="0" borderId="0" xfId="1" applyNumberFormat="1" applyFont="1"/>
    <xf numFmtId="164" fontId="3" fillId="0" borderId="0" xfId="1" applyNumberFormat="1" applyFont="1" applyAlignment="1">
      <alignment horizontal="center" vertical="center" wrapText="1"/>
    </xf>
  </cellXfs>
  <cellStyles count="4">
    <cellStyle name="Comma" xfId="2" builtinId="3"/>
    <cellStyle name="Currency" xfId="1" builtinId="4"/>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241AB-59B7-455D-8D09-C7F427E74B1A}">
  <dimension ref="A1:BC35"/>
  <sheetViews>
    <sheetView zoomScale="85" zoomScaleNormal="85" workbookViewId="0">
      <pane xSplit="1" topLeftCell="B1" activePane="topRight" state="frozen"/>
      <selection pane="topRight" activeCell="G5" sqref="G5"/>
    </sheetView>
  </sheetViews>
  <sheetFormatPr defaultRowHeight="15" x14ac:dyDescent="0.25"/>
  <cols>
    <col min="1" max="1" width="20.140625" bestFit="1" customWidth="1"/>
    <col min="2" max="2" width="11.42578125" bestFit="1" customWidth="1"/>
    <col min="3" max="3" width="10.140625" hidden="1" customWidth="1"/>
    <col min="4" max="4" width="12.42578125" hidden="1" customWidth="1"/>
    <col min="5" max="5" width="10.140625" hidden="1" customWidth="1"/>
    <col min="6" max="6" width="12.42578125" hidden="1" customWidth="1"/>
    <col min="7" max="7" width="10.140625" bestFit="1" customWidth="1"/>
    <col min="8" max="8" width="12.42578125" bestFit="1" customWidth="1"/>
    <col min="9" max="9" width="10.140625" bestFit="1" customWidth="1"/>
    <col min="10" max="10" width="12.42578125" bestFit="1" customWidth="1"/>
    <col min="11" max="11" width="10.140625" bestFit="1" customWidth="1"/>
    <col min="12" max="12" width="12.42578125" bestFit="1" customWidth="1"/>
    <col min="13" max="13" width="10.140625" bestFit="1" customWidth="1"/>
    <col min="14" max="14" width="12.42578125" bestFit="1" customWidth="1"/>
    <col min="15" max="15" width="10.140625" bestFit="1" customWidth="1"/>
    <col min="16" max="16" width="12.42578125" bestFit="1" customWidth="1"/>
    <col min="17" max="17" width="10.140625" bestFit="1" customWidth="1"/>
    <col min="18" max="18" width="12.42578125" bestFit="1" customWidth="1"/>
    <col min="19" max="19" width="10.140625" bestFit="1" customWidth="1"/>
    <col min="20" max="20" width="12.42578125" bestFit="1" customWidth="1"/>
    <col min="21" max="21" width="10.140625" bestFit="1" customWidth="1"/>
    <col min="22" max="22" width="12.42578125" bestFit="1" customWidth="1"/>
    <col min="23" max="23" width="10.140625" bestFit="1" customWidth="1"/>
    <col min="24" max="24" width="12.42578125" bestFit="1" customWidth="1"/>
    <col min="25" max="25" width="10.140625" bestFit="1" customWidth="1"/>
    <col min="26" max="26" width="12.42578125" bestFit="1" customWidth="1"/>
    <col min="27" max="27" width="11.42578125" style="181" bestFit="1" customWidth="1"/>
    <col min="28" max="28" width="0.85546875" customWidth="1"/>
    <col min="29" max="29" width="11.42578125" bestFit="1" customWidth="1"/>
    <col min="30" max="30" width="10.140625" bestFit="1" customWidth="1"/>
    <col min="31" max="31" width="12.42578125" bestFit="1" customWidth="1"/>
    <col min="32" max="32" width="10.140625" bestFit="1" customWidth="1"/>
    <col min="33" max="33" width="12.42578125" bestFit="1" customWidth="1"/>
    <col min="34" max="34" width="10.140625" bestFit="1" customWidth="1"/>
    <col min="35" max="35" width="12.42578125" bestFit="1" customWidth="1"/>
    <col min="36" max="36" width="10.140625" bestFit="1" customWidth="1"/>
    <col min="37" max="37" width="12.42578125" bestFit="1" customWidth="1"/>
    <col min="38" max="38" width="10.140625" bestFit="1" customWidth="1"/>
    <col min="39" max="39" width="12.42578125" bestFit="1" customWidth="1"/>
    <col min="40" max="40" width="10.140625" customWidth="1"/>
    <col min="41" max="41" width="12.42578125" bestFit="1" customWidth="1"/>
    <col min="42" max="42" width="10.140625" bestFit="1" customWidth="1"/>
    <col min="43" max="43" width="12.42578125" bestFit="1" customWidth="1"/>
    <col min="44" max="44" width="10.140625" bestFit="1" customWidth="1"/>
    <col min="45" max="45" width="12.42578125" bestFit="1" customWidth="1"/>
    <col min="46" max="46" width="10.140625" bestFit="1" customWidth="1"/>
    <col min="47" max="47" width="12.42578125" bestFit="1" customWidth="1"/>
    <col min="48" max="48" width="10.140625" bestFit="1" customWidth="1"/>
    <col min="49" max="49" width="12.42578125" bestFit="1" customWidth="1"/>
    <col min="50" max="50" width="10.140625" bestFit="1" customWidth="1"/>
    <col min="51" max="51" width="12.42578125" bestFit="1" customWidth="1"/>
    <col min="52" max="52" width="10.140625" bestFit="1" customWidth="1"/>
    <col min="53" max="54" width="12.42578125" bestFit="1" customWidth="1"/>
    <col min="55" max="55" width="1.42578125" customWidth="1"/>
  </cols>
  <sheetData>
    <row r="1" spans="1:55" s="4" customFormat="1" ht="15.75" thickBot="1" x14ac:dyDescent="0.3">
      <c r="A1" s="46"/>
      <c r="B1" s="46"/>
      <c r="C1" s="214">
        <v>44743</v>
      </c>
      <c r="E1" s="5">
        <v>44774</v>
      </c>
      <c r="G1" s="5">
        <v>44805</v>
      </c>
      <c r="I1" s="5">
        <v>44835</v>
      </c>
      <c r="K1" s="5">
        <v>44866</v>
      </c>
      <c r="M1" s="5">
        <v>44896</v>
      </c>
      <c r="O1" s="5">
        <v>44927</v>
      </c>
      <c r="Q1" s="5">
        <v>44958</v>
      </c>
      <c r="S1" s="5">
        <v>44986</v>
      </c>
      <c r="U1" s="5">
        <v>45017</v>
      </c>
      <c r="W1" s="5">
        <v>45047</v>
      </c>
      <c r="Y1" s="5">
        <v>45078</v>
      </c>
      <c r="AA1" s="186" t="s">
        <v>52</v>
      </c>
      <c r="AB1" s="48"/>
      <c r="AC1" s="8"/>
      <c r="AD1" s="5">
        <v>45108</v>
      </c>
      <c r="AF1" s="5">
        <v>45139</v>
      </c>
      <c r="AH1" s="5">
        <v>45170</v>
      </c>
      <c r="AJ1" s="5">
        <v>45200</v>
      </c>
      <c r="AL1" s="5">
        <v>45231</v>
      </c>
      <c r="AN1" s="215">
        <v>45261</v>
      </c>
      <c r="AP1" s="280">
        <v>45292</v>
      </c>
      <c r="AQ1" s="2"/>
      <c r="AR1" s="280">
        <v>45323</v>
      </c>
      <c r="AS1" s="2"/>
      <c r="AT1" s="280">
        <v>45352</v>
      </c>
      <c r="AU1" s="2"/>
      <c r="AV1" s="280">
        <v>45383</v>
      </c>
      <c r="AW1" s="2"/>
      <c r="AX1" s="280">
        <v>45413</v>
      </c>
      <c r="AY1" s="2"/>
      <c r="AZ1" s="280">
        <v>45444</v>
      </c>
      <c r="BA1" s="2"/>
      <c r="BB1" s="281" t="s">
        <v>9</v>
      </c>
      <c r="BC1" s="21"/>
    </row>
    <row r="2" spans="1:55" s="196" customFormat="1" ht="15.75" thickBot="1" x14ac:dyDescent="0.3">
      <c r="A2" s="197"/>
      <c r="B2" s="188" t="s">
        <v>15</v>
      </c>
      <c r="C2" s="45" t="s">
        <v>13</v>
      </c>
      <c r="D2" s="94" t="s">
        <v>14</v>
      </c>
      <c r="E2" s="45" t="s">
        <v>13</v>
      </c>
      <c r="F2" s="94" t="s">
        <v>14</v>
      </c>
      <c r="G2" s="45" t="s">
        <v>13</v>
      </c>
      <c r="H2" s="94" t="s">
        <v>14</v>
      </c>
      <c r="I2" s="45" t="s">
        <v>13</v>
      </c>
      <c r="J2" s="94" t="s">
        <v>14</v>
      </c>
      <c r="K2" s="45" t="s">
        <v>13</v>
      </c>
      <c r="L2" s="94" t="s">
        <v>14</v>
      </c>
      <c r="M2" s="45" t="s">
        <v>13</v>
      </c>
      <c r="N2" s="94" t="s">
        <v>14</v>
      </c>
      <c r="O2" s="45" t="s">
        <v>13</v>
      </c>
      <c r="P2" s="94" t="s">
        <v>14</v>
      </c>
      <c r="Q2" s="45" t="s">
        <v>13</v>
      </c>
      <c r="R2" s="94" t="s">
        <v>14</v>
      </c>
      <c r="S2" s="45" t="s">
        <v>13</v>
      </c>
      <c r="T2" s="94" t="s">
        <v>14</v>
      </c>
      <c r="U2" s="45" t="s">
        <v>13</v>
      </c>
      <c r="V2" s="94" t="s">
        <v>14</v>
      </c>
      <c r="W2" s="45" t="s">
        <v>13</v>
      </c>
      <c r="X2" s="94" t="s">
        <v>14</v>
      </c>
      <c r="Y2" s="45" t="s">
        <v>13</v>
      </c>
      <c r="Z2" s="94" t="s">
        <v>14</v>
      </c>
      <c r="AA2" s="195"/>
      <c r="AB2" s="190"/>
      <c r="AC2" s="188" t="s">
        <v>15</v>
      </c>
      <c r="AD2" s="45" t="s">
        <v>13</v>
      </c>
      <c r="AE2" s="94" t="s">
        <v>14</v>
      </c>
      <c r="AF2" s="45" t="s">
        <v>13</v>
      </c>
      <c r="AG2" s="94" t="s">
        <v>14</v>
      </c>
      <c r="AH2" s="45" t="s">
        <v>13</v>
      </c>
      <c r="AI2" s="94" t="s">
        <v>14</v>
      </c>
      <c r="AJ2" s="45" t="s">
        <v>13</v>
      </c>
      <c r="AK2" s="94" t="s">
        <v>14</v>
      </c>
      <c r="AL2" s="45" t="s">
        <v>13</v>
      </c>
      <c r="AM2" s="94" t="s">
        <v>14</v>
      </c>
      <c r="AN2" s="45" t="s">
        <v>13</v>
      </c>
      <c r="AO2" s="94" t="s">
        <v>14</v>
      </c>
      <c r="AP2" s="45" t="s">
        <v>13</v>
      </c>
      <c r="AQ2" s="94" t="s">
        <v>14</v>
      </c>
      <c r="AR2" s="45" t="s">
        <v>13</v>
      </c>
      <c r="AS2" s="94" t="s">
        <v>14</v>
      </c>
      <c r="AT2" s="45" t="s">
        <v>13</v>
      </c>
      <c r="AU2" s="94" t="s">
        <v>14</v>
      </c>
      <c r="AV2" s="45" t="s">
        <v>13</v>
      </c>
      <c r="AW2" s="94" t="s">
        <v>14</v>
      </c>
      <c r="AX2" s="45" t="s">
        <v>13</v>
      </c>
      <c r="AY2" s="94" t="s">
        <v>14</v>
      </c>
      <c r="AZ2" s="45" t="s">
        <v>13</v>
      </c>
      <c r="BA2" s="94" t="s">
        <v>14</v>
      </c>
      <c r="BB2" s="281"/>
      <c r="BC2" s="22"/>
    </row>
    <row r="3" spans="1:55" ht="3.6" customHeight="1" x14ac:dyDescent="0.25">
      <c r="A3" s="54"/>
      <c r="B3" s="78"/>
      <c r="C3" s="2"/>
      <c r="D3" s="83"/>
      <c r="E3" s="2"/>
      <c r="F3" s="83"/>
      <c r="G3" s="2"/>
      <c r="H3" s="83"/>
      <c r="I3" s="2"/>
      <c r="J3" s="83"/>
      <c r="K3" s="2"/>
      <c r="L3" s="83"/>
      <c r="M3" s="2"/>
      <c r="N3" s="83"/>
      <c r="O3" s="2"/>
      <c r="P3" s="83"/>
      <c r="Q3" s="2"/>
      <c r="R3" s="83"/>
      <c r="S3" s="2"/>
      <c r="T3" s="83"/>
      <c r="U3" s="2"/>
      <c r="V3" s="83"/>
      <c r="W3" s="2"/>
      <c r="X3" s="83"/>
      <c r="Y3" s="2"/>
      <c r="Z3" s="83"/>
      <c r="AA3" s="187"/>
      <c r="AB3" s="51"/>
      <c r="AC3" s="78"/>
      <c r="AD3" s="2"/>
      <c r="AE3" s="83"/>
      <c r="AF3" s="2"/>
      <c r="AG3" s="83"/>
      <c r="AH3" s="2"/>
      <c r="AI3" s="83"/>
      <c r="AJ3" s="2"/>
      <c r="AK3" s="83"/>
      <c r="AL3" s="2"/>
      <c r="AM3" s="83"/>
      <c r="AN3" s="2"/>
      <c r="AO3" s="83"/>
      <c r="AP3" s="2"/>
      <c r="AQ3" s="83"/>
      <c r="AR3" s="2"/>
      <c r="AS3" s="83"/>
      <c r="AT3" s="2"/>
      <c r="AU3" s="83"/>
      <c r="AV3" s="2"/>
      <c r="AW3" s="83"/>
      <c r="AX3" s="2"/>
      <c r="AY3" s="83"/>
      <c r="AZ3" s="2"/>
      <c r="BA3" s="83"/>
      <c r="BB3" s="53"/>
      <c r="BC3" s="29"/>
    </row>
    <row r="4" spans="1:55" ht="14.45" customHeight="1" x14ac:dyDescent="0.25">
      <c r="A4" s="54" t="s">
        <v>0</v>
      </c>
      <c r="B4" s="78">
        <v>53271.530031612223</v>
      </c>
      <c r="C4" s="2">
        <v>0</v>
      </c>
      <c r="D4" s="83">
        <f>C4*($B4/12)</f>
        <v>0</v>
      </c>
      <c r="E4" s="2">
        <f>C4</f>
        <v>0</v>
      </c>
      <c r="F4" s="83">
        <f>E4*($B4/12)</f>
        <v>0</v>
      </c>
      <c r="G4" s="2">
        <v>4</v>
      </c>
      <c r="H4" s="83">
        <f>G4*($B4/12)</f>
        <v>17757.176677204076</v>
      </c>
      <c r="I4" s="2">
        <f>G4</f>
        <v>4</v>
      </c>
      <c r="J4" s="83">
        <f>I4*($B4/12)</f>
        <v>17757.176677204076</v>
      </c>
      <c r="K4" s="2">
        <f>I4</f>
        <v>4</v>
      </c>
      <c r="L4" s="83">
        <f>K4*($B4/12)</f>
        <v>17757.176677204076</v>
      </c>
      <c r="M4" s="2">
        <f>K4</f>
        <v>4</v>
      </c>
      <c r="N4" s="83">
        <f>M4*($B4/12)</f>
        <v>17757.176677204076</v>
      </c>
      <c r="O4" s="2">
        <f>M4</f>
        <v>4</v>
      </c>
      <c r="P4" s="83">
        <f>O4*($B4/12)</f>
        <v>17757.176677204076</v>
      </c>
      <c r="Q4" s="2">
        <f>O4</f>
        <v>4</v>
      </c>
      <c r="R4" s="83">
        <f>Q4*($B4/12)</f>
        <v>17757.176677204076</v>
      </c>
      <c r="S4" s="2">
        <f>Q4</f>
        <v>4</v>
      </c>
      <c r="T4" s="83">
        <f>S4*($B4/12)</f>
        <v>17757.176677204076</v>
      </c>
      <c r="U4" s="2">
        <f>S4</f>
        <v>4</v>
      </c>
      <c r="V4" s="83">
        <f>U4*($B4/12)</f>
        <v>17757.176677204076</v>
      </c>
      <c r="W4" s="2">
        <f>U4</f>
        <v>4</v>
      </c>
      <c r="X4" s="83">
        <f>W4*($B4/12)</f>
        <v>17757.176677204076</v>
      </c>
      <c r="Y4" s="2">
        <f>W4</f>
        <v>4</v>
      </c>
      <c r="Z4" s="83">
        <f>Y4*($B4/12)</f>
        <v>17757.176677204076</v>
      </c>
      <c r="AA4" s="187"/>
      <c r="AB4" s="51"/>
      <c r="AC4" s="78">
        <f t="shared" ref="AC4:AC10" si="0">B4*1.05</f>
        <v>55935.106533192833</v>
      </c>
      <c r="AD4" s="2">
        <f>Y4</f>
        <v>4</v>
      </c>
      <c r="AE4" s="83">
        <f>AD4*($B4/12)</f>
        <v>17757.176677204076</v>
      </c>
      <c r="AF4" s="2">
        <f>AD4</f>
        <v>4</v>
      </c>
      <c r="AG4" s="83">
        <f>AF4*($B4/12)</f>
        <v>17757.176677204076</v>
      </c>
      <c r="AH4" s="2">
        <f>AF4</f>
        <v>4</v>
      </c>
      <c r="AI4" s="83">
        <f>AH4*($B4/12)</f>
        <v>17757.176677204076</v>
      </c>
      <c r="AJ4" s="2">
        <v>2</v>
      </c>
      <c r="AK4" s="83">
        <f>AJ4*($B4/12)</f>
        <v>8878.5883386020378</v>
      </c>
      <c r="AL4" s="2">
        <v>2</v>
      </c>
      <c r="AM4" s="83">
        <f>AL4*($B4/12)</f>
        <v>8878.5883386020378</v>
      </c>
      <c r="AN4" s="2">
        <v>0</v>
      </c>
      <c r="AO4" s="83">
        <f>AN4*($B4/12)</f>
        <v>0</v>
      </c>
      <c r="AP4" s="2">
        <f>AN4</f>
        <v>0</v>
      </c>
      <c r="AQ4" s="83">
        <f>AP4*($B4/12)</f>
        <v>0</v>
      </c>
      <c r="AR4" s="2">
        <f>AP4</f>
        <v>0</v>
      </c>
      <c r="AS4" s="83">
        <f>AR4*($B4/12)</f>
        <v>0</v>
      </c>
      <c r="AT4" s="2">
        <f>AR4</f>
        <v>0</v>
      </c>
      <c r="AU4" s="83">
        <f>AT4*($B4/12)</f>
        <v>0</v>
      </c>
      <c r="AV4" s="2">
        <f>AT4</f>
        <v>0</v>
      </c>
      <c r="AW4" s="83">
        <f>AV4*($B4/12)</f>
        <v>0</v>
      </c>
      <c r="AX4" s="2">
        <f>AV4</f>
        <v>0</v>
      </c>
      <c r="AY4" s="83">
        <f>AX4*($B4/12)</f>
        <v>0</v>
      </c>
      <c r="AZ4" s="2">
        <f>AX4</f>
        <v>0</v>
      </c>
      <c r="BA4" s="83">
        <f>AZ4*($B4/12)</f>
        <v>0</v>
      </c>
      <c r="BB4" s="54"/>
      <c r="BC4" s="23"/>
    </row>
    <row r="5" spans="1:55" x14ac:dyDescent="0.25">
      <c r="A5" s="54" t="s">
        <v>1</v>
      </c>
      <c r="B5" s="78">
        <v>89287.677555321381</v>
      </c>
      <c r="C5" s="2">
        <v>0</v>
      </c>
      <c r="D5" s="83">
        <f t="shared" ref="D5:R10" si="1">C5*($B5/12)</f>
        <v>0</v>
      </c>
      <c r="E5" s="2">
        <f t="shared" ref="E5:S10" si="2">C5</f>
        <v>0</v>
      </c>
      <c r="F5" s="83">
        <f t="shared" si="1"/>
        <v>0</v>
      </c>
      <c r="G5" s="2">
        <v>2</v>
      </c>
      <c r="H5" s="83">
        <f t="shared" si="1"/>
        <v>14881.279592553563</v>
      </c>
      <c r="I5" s="2">
        <f t="shared" si="2"/>
        <v>2</v>
      </c>
      <c r="J5" s="83">
        <f t="shared" si="1"/>
        <v>14881.279592553563</v>
      </c>
      <c r="K5" s="2">
        <f t="shared" si="2"/>
        <v>2</v>
      </c>
      <c r="L5" s="83">
        <f t="shared" si="1"/>
        <v>14881.279592553563</v>
      </c>
      <c r="M5" s="2">
        <f t="shared" si="2"/>
        <v>2</v>
      </c>
      <c r="N5" s="83">
        <f t="shared" si="1"/>
        <v>14881.279592553563</v>
      </c>
      <c r="O5" s="2">
        <f t="shared" si="2"/>
        <v>2</v>
      </c>
      <c r="P5" s="83">
        <f t="shared" si="1"/>
        <v>14881.279592553563</v>
      </c>
      <c r="Q5" s="2">
        <f t="shared" si="2"/>
        <v>2</v>
      </c>
      <c r="R5" s="83">
        <f t="shared" si="1"/>
        <v>14881.279592553563</v>
      </c>
      <c r="S5" s="2">
        <f t="shared" si="2"/>
        <v>2</v>
      </c>
      <c r="T5" s="83">
        <f t="shared" ref="T5:Z10" si="3">S5*($B5/12)</f>
        <v>14881.279592553563</v>
      </c>
      <c r="U5" s="2">
        <f t="shared" ref="U5:Y10" si="4">S5</f>
        <v>2</v>
      </c>
      <c r="V5" s="83">
        <f t="shared" si="3"/>
        <v>14881.279592553563</v>
      </c>
      <c r="W5" s="2">
        <f t="shared" si="4"/>
        <v>2</v>
      </c>
      <c r="X5" s="83">
        <f t="shared" si="3"/>
        <v>14881.279592553563</v>
      </c>
      <c r="Y5" s="2">
        <f t="shared" si="4"/>
        <v>2</v>
      </c>
      <c r="Z5" s="83">
        <f t="shared" si="3"/>
        <v>14881.279592553563</v>
      </c>
      <c r="AA5" s="187"/>
      <c r="AB5" s="51"/>
      <c r="AC5" s="78">
        <f t="shared" si="0"/>
        <v>93752.061433087452</v>
      </c>
      <c r="AD5" s="2">
        <f t="shared" ref="AD5:AD10" si="5">Y5</f>
        <v>2</v>
      </c>
      <c r="AE5" s="83">
        <f t="shared" ref="AE5:AE10" si="6">AD5*($B5/12)</f>
        <v>14881.279592553563</v>
      </c>
      <c r="AF5" s="2">
        <f t="shared" ref="AF5:AF10" si="7">AD5</f>
        <v>2</v>
      </c>
      <c r="AG5" s="83">
        <f t="shared" ref="AG5:AG10" si="8">AF5*($B5/12)</f>
        <v>14881.279592553563</v>
      </c>
      <c r="AH5" s="2">
        <f t="shared" ref="AH5:AH10" si="9">AF5</f>
        <v>2</v>
      </c>
      <c r="AI5" s="83">
        <f t="shared" ref="AI5:AI10" si="10">AH5*($B5/12)</f>
        <v>14881.279592553563</v>
      </c>
      <c r="AJ5" s="2">
        <f t="shared" ref="AJ5:AJ10" si="11">AH5</f>
        <v>2</v>
      </c>
      <c r="AK5" s="83">
        <f t="shared" ref="AK5:AK10" si="12">AJ5*($B5/12)</f>
        <v>14881.279592553563</v>
      </c>
      <c r="AL5" s="2">
        <f t="shared" ref="AL5:AL10" si="13">AJ5</f>
        <v>2</v>
      </c>
      <c r="AM5" s="83">
        <f t="shared" ref="AM5:AM10" si="14">AL5*($B5/12)</f>
        <v>14881.279592553563</v>
      </c>
      <c r="AN5" s="2">
        <f t="shared" ref="AN5:AN10" si="15">AL5</f>
        <v>2</v>
      </c>
      <c r="AO5" s="83">
        <f t="shared" ref="AO5:AO10" si="16">AN5*($B5/12)</f>
        <v>14881.279592553563</v>
      </c>
      <c r="AP5" s="2">
        <v>1</v>
      </c>
      <c r="AQ5" s="83">
        <f t="shared" ref="AQ5:AQ10" si="17">AP5*($B5/12)</f>
        <v>7440.6397962767815</v>
      </c>
      <c r="AR5" s="2">
        <v>0</v>
      </c>
      <c r="AS5" s="83">
        <f t="shared" ref="AS5:AS10" si="18">AR5*($B5/12)</f>
        <v>0</v>
      </c>
      <c r="AT5" s="2">
        <f t="shared" ref="AT5:AT10" si="19">AR5</f>
        <v>0</v>
      </c>
      <c r="AU5" s="83">
        <f t="shared" ref="AU5:AU10" si="20">AT5*($B5/12)</f>
        <v>0</v>
      </c>
      <c r="AV5" s="2">
        <f t="shared" ref="AV5:AV10" si="21">AT5</f>
        <v>0</v>
      </c>
      <c r="AW5" s="83">
        <f t="shared" ref="AW5:AW10" si="22">AV5*($B5/12)</f>
        <v>0</v>
      </c>
      <c r="AX5" s="2">
        <f t="shared" ref="AX5:AX10" si="23">AV5</f>
        <v>0</v>
      </c>
      <c r="AY5" s="83">
        <f t="shared" ref="AY5:AY10" si="24">AX5*($B5/12)</f>
        <v>0</v>
      </c>
      <c r="AZ5" s="2">
        <f t="shared" ref="AZ5:AZ10" si="25">AX5</f>
        <v>0</v>
      </c>
      <c r="BA5" s="83">
        <f t="shared" ref="BA5:BA10" si="26">AZ5*($B5/12)</f>
        <v>0</v>
      </c>
      <c r="BB5" s="54"/>
      <c r="BC5" s="23"/>
    </row>
    <row r="6" spans="1:55" x14ac:dyDescent="0.25">
      <c r="A6" s="54" t="s">
        <v>2</v>
      </c>
      <c r="B6" s="78">
        <v>127303.82507903056</v>
      </c>
      <c r="C6" s="2"/>
      <c r="D6" s="83">
        <f t="shared" si="1"/>
        <v>0</v>
      </c>
      <c r="E6" s="2">
        <f t="shared" si="2"/>
        <v>0</v>
      </c>
      <c r="F6" s="83">
        <f t="shared" si="1"/>
        <v>0</v>
      </c>
      <c r="G6" s="2">
        <f t="shared" si="2"/>
        <v>0</v>
      </c>
      <c r="H6" s="83">
        <f t="shared" si="1"/>
        <v>0</v>
      </c>
      <c r="I6" s="2">
        <f t="shared" si="2"/>
        <v>0</v>
      </c>
      <c r="J6" s="83">
        <f t="shared" si="1"/>
        <v>0</v>
      </c>
      <c r="K6" s="2">
        <f t="shared" si="2"/>
        <v>0</v>
      </c>
      <c r="L6" s="83">
        <f t="shared" si="1"/>
        <v>0</v>
      </c>
      <c r="M6" s="2">
        <f t="shared" si="2"/>
        <v>0</v>
      </c>
      <c r="N6" s="83">
        <f t="shared" si="1"/>
        <v>0</v>
      </c>
      <c r="O6" s="2">
        <f t="shared" si="2"/>
        <v>0</v>
      </c>
      <c r="P6" s="83">
        <f t="shared" si="1"/>
        <v>0</v>
      </c>
      <c r="Q6" s="2">
        <f t="shared" si="2"/>
        <v>0</v>
      </c>
      <c r="R6" s="83">
        <f t="shared" si="1"/>
        <v>0</v>
      </c>
      <c r="S6" s="2">
        <f t="shared" si="2"/>
        <v>0</v>
      </c>
      <c r="T6" s="83">
        <f t="shared" si="3"/>
        <v>0</v>
      </c>
      <c r="U6" s="2">
        <f t="shared" si="4"/>
        <v>0</v>
      </c>
      <c r="V6" s="83">
        <f t="shared" si="3"/>
        <v>0</v>
      </c>
      <c r="W6" s="2">
        <f t="shared" si="4"/>
        <v>0</v>
      </c>
      <c r="X6" s="83">
        <f t="shared" si="3"/>
        <v>0</v>
      </c>
      <c r="Y6" s="2">
        <f t="shared" si="4"/>
        <v>0</v>
      </c>
      <c r="Z6" s="83">
        <f t="shared" si="3"/>
        <v>0</v>
      </c>
      <c r="AA6" s="187"/>
      <c r="AB6" s="51"/>
      <c r="AC6" s="78">
        <f t="shared" si="0"/>
        <v>133669.01633298211</v>
      </c>
      <c r="AD6" s="2">
        <f t="shared" si="5"/>
        <v>0</v>
      </c>
      <c r="AE6" s="83">
        <f t="shared" si="6"/>
        <v>0</v>
      </c>
      <c r="AF6" s="2">
        <f t="shared" si="7"/>
        <v>0</v>
      </c>
      <c r="AG6" s="83">
        <f t="shared" si="8"/>
        <v>0</v>
      </c>
      <c r="AH6" s="2">
        <f t="shared" si="9"/>
        <v>0</v>
      </c>
      <c r="AI6" s="83">
        <f t="shared" si="10"/>
        <v>0</v>
      </c>
      <c r="AJ6" s="2">
        <f t="shared" si="11"/>
        <v>0</v>
      </c>
      <c r="AK6" s="83">
        <f t="shared" si="12"/>
        <v>0</v>
      </c>
      <c r="AL6" s="2">
        <f t="shared" si="13"/>
        <v>0</v>
      </c>
      <c r="AM6" s="83">
        <f t="shared" si="14"/>
        <v>0</v>
      </c>
      <c r="AN6" s="2">
        <f t="shared" si="15"/>
        <v>0</v>
      </c>
      <c r="AO6" s="83">
        <f t="shared" si="16"/>
        <v>0</v>
      </c>
      <c r="AP6" s="2">
        <f>AN6</f>
        <v>0</v>
      </c>
      <c r="AQ6" s="83">
        <f t="shared" si="17"/>
        <v>0</v>
      </c>
      <c r="AR6" s="2">
        <f>AP6</f>
        <v>0</v>
      </c>
      <c r="AS6" s="83">
        <f t="shared" si="18"/>
        <v>0</v>
      </c>
      <c r="AT6" s="2">
        <f t="shared" si="19"/>
        <v>0</v>
      </c>
      <c r="AU6" s="83">
        <f t="shared" si="20"/>
        <v>0</v>
      </c>
      <c r="AV6" s="2">
        <f t="shared" si="21"/>
        <v>0</v>
      </c>
      <c r="AW6" s="83">
        <f t="shared" si="22"/>
        <v>0</v>
      </c>
      <c r="AX6" s="2">
        <f t="shared" si="23"/>
        <v>0</v>
      </c>
      <c r="AY6" s="83">
        <f t="shared" si="24"/>
        <v>0</v>
      </c>
      <c r="AZ6" s="2">
        <f t="shared" si="25"/>
        <v>0</v>
      </c>
      <c r="BA6" s="83">
        <f t="shared" si="26"/>
        <v>0</v>
      </c>
      <c r="BB6" s="54"/>
      <c r="BC6" s="23"/>
    </row>
    <row r="7" spans="1:55" x14ac:dyDescent="0.25">
      <c r="A7" s="54" t="s">
        <v>3</v>
      </c>
      <c r="B7" s="78">
        <v>189050.73761854586</v>
      </c>
      <c r="C7" s="2"/>
      <c r="D7" s="83">
        <f t="shared" si="1"/>
        <v>0</v>
      </c>
      <c r="E7" s="2">
        <f t="shared" si="2"/>
        <v>0</v>
      </c>
      <c r="F7" s="83">
        <f t="shared" si="1"/>
        <v>0</v>
      </c>
      <c r="G7" s="2">
        <f t="shared" si="2"/>
        <v>0</v>
      </c>
      <c r="H7" s="83">
        <f t="shared" si="1"/>
        <v>0</v>
      </c>
      <c r="I7" s="2">
        <f t="shared" si="2"/>
        <v>0</v>
      </c>
      <c r="J7" s="83">
        <f t="shared" si="1"/>
        <v>0</v>
      </c>
      <c r="K7" s="2">
        <f t="shared" si="2"/>
        <v>0</v>
      </c>
      <c r="L7" s="83">
        <f t="shared" si="1"/>
        <v>0</v>
      </c>
      <c r="M7" s="2">
        <f t="shared" si="2"/>
        <v>0</v>
      </c>
      <c r="N7" s="83">
        <f t="shared" si="1"/>
        <v>0</v>
      </c>
      <c r="O7" s="2">
        <f t="shared" si="2"/>
        <v>0</v>
      </c>
      <c r="P7" s="83">
        <f t="shared" si="1"/>
        <v>0</v>
      </c>
      <c r="Q7" s="2">
        <f t="shared" si="2"/>
        <v>0</v>
      </c>
      <c r="R7" s="83">
        <f t="shared" si="1"/>
        <v>0</v>
      </c>
      <c r="S7" s="2">
        <f t="shared" si="2"/>
        <v>0</v>
      </c>
      <c r="T7" s="83">
        <f t="shared" si="3"/>
        <v>0</v>
      </c>
      <c r="U7" s="2">
        <f t="shared" si="4"/>
        <v>0</v>
      </c>
      <c r="V7" s="83">
        <f t="shared" si="3"/>
        <v>0</v>
      </c>
      <c r="W7" s="2">
        <f t="shared" si="4"/>
        <v>0</v>
      </c>
      <c r="X7" s="83">
        <f t="shared" si="3"/>
        <v>0</v>
      </c>
      <c r="Y7" s="2">
        <f t="shared" si="4"/>
        <v>0</v>
      </c>
      <c r="Z7" s="83">
        <f t="shared" si="3"/>
        <v>0</v>
      </c>
      <c r="AA7" s="187"/>
      <c r="AB7" s="51"/>
      <c r="AC7" s="78">
        <f t="shared" si="0"/>
        <v>198503.27449947316</v>
      </c>
      <c r="AD7" s="2">
        <f t="shared" si="5"/>
        <v>0</v>
      </c>
      <c r="AE7" s="83">
        <f t="shared" si="6"/>
        <v>0</v>
      </c>
      <c r="AF7" s="2">
        <f t="shared" si="7"/>
        <v>0</v>
      </c>
      <c r="AG7" s="83">
        <f t="shared" si="8"/>
        <v>0</v>
      </c>
      <c r="AH7" s="2">
        <f t="shared" si="9"/>
        <v>0</v>
      </c>
      <c r="AI7" s="83">
        <f t="shared" si="10"/>
        <v>0</v>
      </c>
      <c r="AJ7" s="2">
        <f t="shared" si="11"/>
        <v>0</v>
      </c>
      <c r="AK7" s="83">
        <f t="shared" si="12"/>
        <v>0</v>
      </c>
      <c r="AL7" s="2">
        <f t="shared" si="13"/>
        <v>0</v>
      </c>
      <c r="AM7" s="83">
        <f t="shared" si="14"/>
        <v>0</v>
      </c>
      <c r="AN7" s="2">
        <f t="shared" si="15"/>
        <v>0</v>
      </c>
      <c r="AO7" s="83">
        <f t="shared" si="16"/>
        <v>0</v>
      </c>
      <c r="AP7" s="2">
        <f>AN7</f>
        <v>0</v>
      </c>
      <c r="AQ7" s="83">
        <f t="shared" si="17"/>
        <v>0</v>
      </c>
      <c r="AR7" s="2">
        <f>AP7</f>
        <v>0</v>
      </c>
      <c r="AS7" s="83">
        <f t="shared" si="18"/>
        <v>0</v>
      </c>
      <c r="AT7" s="2">
        <f t="shared" si="19"/>
        <v>0</v>
      </c>
      <c r="AU7" s="83">
        <f t="shared" si="20"/>
        <v>0</v>
      </c>
      <c r="AV7" s="2">
        <f t="shared" si="21"/>
        <v>0</v>
      </c>
      <c r="AW7" s="83">
        <f t="shared" si="22"/>
        <v>0</v>
      </c>
      <c r="AX7" s="2">
        <f t="shared" si="23"/>
        <v>0</v>
      </c>
      <c r="AY7" s="83">
        <f t="shared" si="24"/>
        <v>0</v>
      </c>
      <c r="AZ7" s="2">
        <f t="shared" si="25"/>
        <v>0</v>
      </c>
      <c r="BA7" s="83">
        <f t="shared" si="26"/>
        <v>0</v>
      </c>
      <c r="BB7" s="54"/>
      <c r="BC7" s="23"/>
    </row>
    <row r="8" spans="1:55" x14ac:dyDescent="0.25">
      <c r="A8" s="54" t="s">
        <v>6</v>
      </c>
      <c r="B8" s="78">
        <v>152274.59009483669</v>
      </c>
      <c r="C8" s="2"/>
      <c r="D8" s="83">
        <f t="shared" si="1"/>
        <v>0</v>
      </c>
      <c r="E8" s="2">
        <f t="shared" si="2"/>
        <v>0</v>
      </c>
      <c r="F8" s="83">
        <f t="shared" si="1"/>
        <v>0</v>
      </c>
      <c r="G8" s="2">
        <f t="shared" si="2"/>
        <v>0</v>
      </c>
      <c r="H8" s="83">
        <f t="shared" si="1"/>
        <v>0</v>
      </c>
      <c r="I8" s="2">
        <f t="shared" si="2"/>
        <v>0</v>
      </c>
      <c r="J8" s="83">
        <f t="shared" si="1"/>
        <v>0</v>
      </c>
      <c r="K8" s="2">
        <f t="shared" si="2"/>
        <v>0</v>
      </c>
      <c r="L8" s="83">
        <f t="shared" si="1"/>
        <v>0</v>
      </c>
      <c r="M8" s="2">
        <f t="shared" si="2"/>
        <v>0</v>
      </c>
      <c r="N8" s="83">
        <f t="shared" si="1"/>
        <v>0</v>
      </c>
      <c r="O8" s="2">
        <f t="shared" si="2"/>
        <v>0</v>
      </c>
      <c r="P8" s="83">
        <f t="shared" si="1"/>
        <v>0</v>
      </c>
      <c r="Q8" s="2">
        <f t="shared" si="2"/>
        <v>0</v>
      </c>
      <c r="R8" s="83">
        <f t="shared" si="1"/>
        <v>0</v>
      </c>
      <c r="S8" s="2">
        <f t="shared" si="2"/>
        <v>0</v>
      </c>
      <c r="T8" s="83">
        <f t="shared" si="3"/>
        <v>0</v>
      </c>
      <c r="U8" s="2">
        <f t="shared" si="4"/>
        <v>0</v>
      </c>
      <c r="V8" s="83">
        <f t="shared" si="3"/>
        <v>0</v>
      </c>
      <c r="W8" s="2">
        <f t="shared" si="4"/>
        <v>0</v>
      </c>
      <c r="X8" s="83">
        <f t="shared" si="3"/>
        <v>0</v>
      </c>
      <c r="Y8" s="2">
        <f t="shared" si="4"/>
        <v>0</v>
      </c>
      <c r="Z8" s="83">
        <f t="shared" si="3"/>
        <v>0</v>
      </c>
      <c r="AA8" s="187"/>
      <c r="AB8" s="51"/>
      <c r="AC8" s="78">
        <f t="shared" si="0"/>
        <v>159888.31959957854</v>
      </c>
      <c r="AD8" s="2">
        <f t="shared" si="5"/>
        <v>0</v>
      </c>
      <c r="AE8" s="83">
        <f t="shared" si="6"/>
        <v>0</v>
      </c>
      <c r="AF8" s="2">
        <f t="shared" si="7"/>
        <v>0</v>
      </c>
      <c r="AG8" s="83">
        <f t="shared" si="8"/>
        <v>0</v>
      </c>
      <c r="AH8" s="2">
        <f t="shared" si="9"/>
        <v>0</v>
      </c>
      <c r="AI8" s="83">
        <f t="shared" si="10"/>
        <v>0</v>
      </c>
      <c r="AJ8" s="2">
        <f t="shared" si="11"/>
        <v>0</v>
      </c>
      <c r="AK8" s="83">
        <f t="shared" si="12"/>
        <v>0</v>
      </c>
      <c r="AL8" s="2">
        <f t="shared" si="13"/>
        <v>0</v>
      </c>
      <c r="AM8" s="83">
        <f t="shared" si="14"/>
        <v>0</v>
      </c>
      <c r="AN8" s="2">
        <f t="shared" si="15"/>
        <v>0</v>
      </c>
      <c r="AO8" s="83">
        <f t="shared" si="16"/>
        <v>0</v>
      </c>
      <c r="AP8" s="2">
        <f>AN8</f>
        <v>0</v>
      </c>
      <c r="AQ8" s="83">
        <f t="shared" si="17"/>
        <v>0</v>
      </c>
      <c r="AR8" s="2">
        <f>AP8</f>
        <v>0</v>
      </c>
      <c r="AS8" s="83">
        <f t="shared" si="18"/>
        <v>0</v>
      </c>
      <c r="AT8" s="2">
        <f t="shared" si="19"/>
        <v>0</v>
      </c>
      <c r="AU8" s="83">
        <f t="shared" si="20"/>
        <v>0</v>
      </c>
      <c r="AV8" s="2">
        <f t="shared" si="21"/>
        <v>0</v>
      </c>
      <c r="AW8" s="83">
        <f t="shared" si="22"/>
        <v>0</v>
      </c>
      <c r="AX8" s="2">
        <f t="shared" si="23"/>
        <v>0</v>
      </c>
      <c r="AY8" s="83">
        <f t="shared" si="24"/>
        <v>0</v>
      </c>
      <c r="AZ8" s="2">
        <f t="shared" si="25"/>
        <v>0</v>
      </c>
      <c r="BA8" s="83">
        <f t="shared" si="26"/>
        <v>0</v>
      </c>
      <c r="BB8" s="54"/>
      <c r="BC8" s="23"/>
    </row>
    <row r="9" spans="1:55" x14ac:dyDescent="0.25">
      <c r="A9" s="54" t="s">
        <v>4</v>
      </c>
      <c r="B9" s="78">
        <v>284426.39768177026</v>
      </c>
      <c r="C9" s="2"/>
      <c r="D9" s="83">
        <f t="shared" si="1"/>
        <v>0</v>
      </c>
      <c r="E9" s="2">
        <f t="shared" si="2"/>
        <v>0</v>
      </c>
      <c r="F9" s="83">
        <f t="shared" si="1"/>
        <v>0</v>
      </c>
      <c r="G9" s="2">
        <f t="shared" si="2"/>
        <v>0</v>
      </c>
      <c r="H9" s="83">
        <f t="shared" si="1"/>
        <v>0</v>
      </c>
      <c r="I9" s="2">
        <f t="shared" si="2"/>
        <v>0</v>
      </c>
      <c r="J9" s="83">
        <f t="shared" si="1"/>
        <v>0</v>
      </c>
      <c r="K9" s="2">
        <f t="shared" si="2"/>
        <v>0</v>
      </c>
      <c r="L9" s="83">
        <f t="shared" si="1"/>
        <v>0</v>
      </c>
      <c r="M9" s="2">
        <f t="shared" si="2"/>
        <v>0</v>
      </c>
      <c r="N9" s="83">
        <f t="shared" si="1"/>
        <v>0</v>
      </c>
      <c r="O9" s="2">
        <f t="shared" si="2"/>
        <v>0</v>
      </c>
      <c r="P9" s="83">
        <f t="shared" si="1"/>
        <v>0</v>
      </c>
      <c r="Q9" s="2">
        <f t="shared" si="2"/>
        <v>0</v>
      </c>
      <c r="R9" s="83">
        <f t="shared" si="1"/>
        <v>0</v>
      </c>
      <c r="S9" s="2">
        <f t="shared" si="2"/>
        <v>0</v>
      </c>
      <c r="T9" s="83">
        <f t="shared" si="3"/>
        <v>0</v>
      </c>
      <c r="U9" s="2">
        <f t="shared" si="4"/>
        <v>0</v>
      </c>
      <c r="V9" s="83">
        <f t="shared" si="3"/>
        <v>0</v>
      </c>
      <c r="W9" s="2">
        <f t="shared" si="4"/>
        <v>0</v>
      </c>
      <c r="X9" s="83">
        <f t="shared" si="3"/>
        <v>0</v>
      </c>
      <c r="Y9" s="2">
        <f t="shared" si="4"/>
        <v>0</v>
      </c>
      <c r="Z9" s="83">
        <f t="shared" si="3"/>
        <v>0</v>
      </c>
      <c r="AA9" s="187"/>
      <c r="AB9" s="51"/>
      <c r="AC9" s="78">
        <f t="shared" si="0"/>
        <v>298647.71756585879</v>
      </c>
      <c r="AD9" s="2">
        <f t="shared" si="5"/>
        <v>0</v>
      </c>
      <c r="AE9" s="83">
        <f t="shared" si="6"/>
        <v>0</v>
      </c>
      <c r="AF9" s="2">
        <f t="shared" si="7"/>
        <v>0</v>
      </c>
      <c r="AG9" s="83">
        <f t="shared" si="8"/>
        <v>0</v>
      </c>
      <c r="AH9" s="2">
        <f t="shared" si="9"/>
        <v>0</v>
      </c>
      <c r="AI9" s="83">
        <f t="shared" si="10"/>
        <v>0</v>
      </c>
      <c r="AJ9" s="2">
        <f t="shared" si="11"/>
        <v>0</v>
      </c>
      <c r="AK9" s="83">
        <f t="shared" si="12"/>
        <v>0</v>
      </c>
      <c r="AL9" s="2">
        <f t="shared" si="13"/>
        <v>0</v>
      </c>
      <c r="AM9" s="83">
        <f t="shared" si="14"/>
        <v>0</v>
      </c>
      <c r="AN9" s="2">
        <f t="shared" si="15"/>
        <v>0</v>
      </c>
      <c r="AO9" s="83">
        <f t="shared" si="16"/>
        <v>0</v>
      </c>
      <c r="AP9" s="2">
        <f>AN9</f>
        <v>0</v>
      </c>
      <c r="AQ9" s="83">
        <f t="shared" si="17"/>
        <v>0</v>
      </c>
      <c r="AR9" s="2">
        <f>AP9</f>
        <v>0</v>
      </c>
      <c r="AS9" s="83">
        <f t="shared" si="18"/>
        <v>0</v>
      </c>
      <c r="AT9" s="2">
        <f t="shared" si="19"/>
        <v>0</v>
      </c>
      <c r="AU9" s="83">
        <f t="shared" si="20"/>
        <v>0</v>
      </c>
      <c r="AV9" s="2">
        <f t="shared" si="21"/>
        <v>0</v>
      </c>
      <c r="AW9" s="83">
        <f t="shared" si="22"/>
        <v>0</v>
      </c>
      <c r="AX9" s="2">
        <f t="shared" si="23"/>
        <v>0</v>
      </c>
      <c r="AY9" s="83">
        <f t="shared" si="24"/>
        <v>0</v>
      </c>
      <c r="AZ9" s="2">
        <f t="shared" si="25"/>
        <v>0</v>
      </c>
      <c r="BA9" s="83">
        <f t="shared" si="26"/>
        <v>0</v>
      </c>
      <c r="BB9" s="54"/>
      <c r="BC9" s="23"/>
    </row>
    <row r="10" spans="1:55" ht="15.75" thickBot="1" x14ac:dyDescent="0.3">
      <c r="A10" s="54" t="s">
        <v>5</v>
      </c>
      <c r="B10" s="78">
        <v>77082.295047418345</v>
      </c>
      <c r="C10" s="2"/>
      <c r="D10" s="83">
        <f t="shared" si="1"/>
        <v>0</v>
      </c>
      <c r="E10" s="2">
        <f t="shared" si="2"/>
        <v>0</v>
      </c>
      <c r="F10" s="83">
        <f t="shared" si="1"/>
        <v>0</v>
      </c>
      <c r="G10" s="2">
        <f t="shared" si="2"/>
        <v>0</v>
      </c>
      <c r="H10" s="83">
        <f t="shared" si="1"/>
        <v>0</v>
      </c>
      <c r="I10" s="2">
        <f t="shared" si="2"/>
        <v>0</v>
      </c>
      <c r="J10" s="83">
        <f t="shared" si="1"/>
        <v>0</v>
      </c>
      <c r="K10" s="2">
        <f t="shared" si="2"/>
        <v>0</v>
      </c>
      <c r="L10" s="83">
        <f t="shared" si="1"/>
        <v>0</v>
      </c>
      <c r="M10" s="2">
        <f t="shared" si="2"/>
        <v>0</v>
      </c>
      <c r="N10" s="83">
        <f t="shared" si="1"/>
        <v>0</v>
      </c>
      <c r="O10" s="2">
        <f t="shared" si="2"/>
        <v>0</v>
      </c>
      <c r="P10" s="83">
        <f t="shared" si="1"/>
        <v>0</v>
      </c>
      <c r="Q10" s="2">
        <f t="shared" si="2"/>
        <v>0</v>
      </c>
      <c r="R10" s="83">
        <f t="shared" si="1"/>
        <v>0</v>
      </c>
      <c r="S10" s="2">
        <f t="shared" si="2"/>
        <v>0</v>
      </c>
      <c r="T10" s="83">
        <f t="shared" si="3"/>
        <v>0</v>
      </c>
      <c r="U10" s="2">
        <f t="shared" si="4"/>
        <v>0</v>
      </c>
      <c r="V10" s="83">
        <f t="shared" si="3"/>
        <v>0</v>
      </c>
      <c r="W10" s="2">
        <f t="shared" si="4"/>
        <v>0</v>
      </c>
      <c r="X10" s="83">
        <f t="shared" si="3"/>
        <v>0</v>
      </c>
      <c r="Y10" s="2">
        <f t="shared" si="4"/>
        <v>0</v>
      </c>
      <c r="Z10" s="83">
        <f t="shared" si="3"/>
        <v>0</v>
      </c>
      <c r="AA10" s="187"/>
      <c r="AB10" s="51"/>
      <c r="AC10" s="78">
        <f t="shared" si="0"/>
        <v>80936.409799789268</v>
      </c>
      <c r="AD10" s="2">
        <f t="shared" si="5"/>
        <v>0</v>
      </c>
      <c r="AE10" s="83">
        <f t="shared" si="6"/>
        <v>0</v>
      </c>
      <c r="AF10" s="2">
        <f t="shared" si="7"/>
        <v>0</v>
      </c>
      <c r="AG10" s="83">
        <f t="shared" si="8"/>
        <v>0</v>
      </c>
      <c r="AH10" s="2">
        <f t="shared" si="9"/>
        <v>0</v>
      </c>
      <c r="AI10" s="83">
        <f t="shared" si="10"/>
        <v>0</v>
      </c>
      <c r="AJ10" s="2">
        <f t="shared" si="11"/>
        <v>0</v>
      </c>
      <c r="AK10" s="83">
        <f t="shared" si="12"/>
        <v>0</v>
      </c>
      <c r="AL10" s="2">
        <f t="shared" si="13"/>
        <v>0</v>
      </c>
      <c r="AM10" s="83">
        <f t="shared" si="14"/>
        <v>0</v>
      </c>
      <c r="AN10" s="2">
        <f t="shared" si="15"/>
        <v>0</v>
      </c>
      <c r="AO10" s="83">
        <f t="shared" si="16"/>
        <v>0</v>
      </c>
      <c r="AP10" s="2">
        <f>AN10</f>
        <v>0</v>
      </c>
      <c r="AQ10" s="83">
        <f t="shared" si="17"/>
        <v>0</v>
      </c>
      <c r="AR10" s="2">
        <f>AP10</f>
        <v>0</v>
      </c>
      <c r="AS10" s="83">
        <f t="shared" si="18"/>
        <v>0</v>
      </c>
      <c r="AT10" s="2">
        <f t="shared" si="19"/>
        <v>0</v>
      </c>
      <c r="AU10" s="83">
        <f t="shared" si="20"/>
        <v>0</v>
      </c>
      <c r="AV10" s="2">
        <f t="shared" si="21"/>
        <v>0</v>
      </c>
      <c r="AW10" s="83">
        <f t="shared" si="22"/>
        <v>0</v>
      </c>
      <c r="AX10" s="2">
        <f t="shared" si="23"/>
        <v>0</v>
      </c>
      <c r="AY10" s="83">
        <f t="shared" si="24"/>
        <v>0</v>
      </c>
      <c r="AZ10" s="2">
        <f t="shared" si="25"/>
        <v>0</v>
      </c>
      <c r="BA10" s="83">
        <f t="shared" si="26"/>
        <v>0</v>
      </c>
      <c r="BB10" s="193"/>
      <c r="BC10" s="282"/>
    </row>
    <row r="11" spans="1:55" ht="15.75" thickBot="1" x14ac:dyDescent="0.3">
      <c r="A11" s="65" t="s">
        <v>12</v>
      </c>
      <c r="B11" s="188"/>
      <c r="C11" s="189">
        <f>SUM(C4:C10)</f>
        <v>0</v>
      </c>
      <c r="D11" s="94">
        <f>SUM(D4:D10)</f>
        <v>0</v>
      </c>
      <c r="E11" s="189">
        <f>SUM(E4:E10)</f>
        <v>0</v>
      </c>
      <c r="F11" s="94">
        <f>SUM(F4:F10)</f>
        <v>0</v>
      </c>
      <c r="G11" s="189">
        <f>SUM(G4:G10)</f>
        <v>6</v>
      </c>
      <c r="H11" s="94">
        <f t="shared" ref="H11:Z11" si="27">SUM(H4:H10)</f>
        <v>32638.45626975764</v>
      </c>
      <c r="I11" s="189">
        <f t="shared" si="27"/>
        <v>6</v>
      </c>
      <c r="J11" s="94">
        <f t="shared" si="27"/>
        <v>32638.45626975764</v>
      </c>
      <c r="K11" s="189">
        <f t="shared" si="27"/>
        <v>6</v>
      </c>
      <c r="L11" s="94">
        <f t="shared" si="27"/>
        <v>32638.45626975764</v>
      </c>
      <c r="M11" s="189">
        <f t="shared" si="27"/>
        <v>6</v>
      </c>
      <c r="N11" s="94">
        <f t="shared" si="27"/>
        <v>32638.45626975764</v>
      </c>
      <c r="O11" s="189">
        <f t="shared" si="27"/>
        <v>6</v>
      </c>
      <c r="P11" s="94">
        <f t="shared" si="27"/>
        <v>32638.45626975764</v>
      </c>
      <c r="Q11" s="189">
        <f t="shared" si="27"/>
        <v>6</v>
      </c>
      <c r="R11" s="94">
        <f t="shared" si="27"/>
        <v>32638.45626975764</v>
      </c>
      <c r="S11" s="189">
        <f t="shared" si="27"/>
        <v>6</v>
      </c>
      <c r="T11" s="94">
        <f t="shared" si="27"/>
        <v>32638.45626975764</v>
      </c>
      <c r="U11" s="189">
        <f t="shared" si="27"/>
        <v>6</v>
      </c>
      <c r="V11" s="94">
        <f t="shared" si="27"/>
        <v>32638.45626975764</v>
      </c>
      <c r="W11" s="189">
        <f t="shared" si="27"/>
        <v>6</v>
      </c>
      <c r="X11" s="94">
        <f t="shared" si="27"/>
        <v>32638.45626975764</v>
      </c>
      <c r="Y11" s="189">
        <f t="shared" si="27"/>
        <v>6</v>
      </c>
      <c r="Z11" s="94">
        <f t="shared" si="27"/>
        <v>32638.45626975764</v>
      </c>
      <c r="AA11" s="56">
        <f>Z11+X11+V11+T11+R11+P11+N11+L11+J11+H11+F11+D11</f>
        <v>326384.56269757642</v>
      </c>
      <c r="AB11" s="190"/>
      <c r="AC11" s="188"/>
      <c r="AD11" s="189">
        <f>SUM(AD4:AD10)</f>
        <v>6</v>
      </c>
      <c r="AE11" s="94">
        <f t="shared" ref="AE11:BA11" si="28">SUM(AE4:AE10)</f>
        <v>32638.45626975764</v>
      </c>
      <c r="AF11" s="189">
        <f t="shared" si="28"/>
        <v>6</v>
      </c>
      <c r="AG11" s="94">
        <f t="shared" si="28"/>
        <v>32638.45626975764</v>
      </c>
      <c r="AH11" s="189">
        <f t="shared" si="28"/>
        <v>6</v>
      </c>
      <c r="AI11" s="94">
        <f t="shared" si="28"/>
        <v>32638.45626975764</v>
      </c>
      <c r="AJ11" s="189">
        <f t="shared" si="28"/>
        <v>4</v>
      </c>
      <c r="AK11" s="94">
        <f t="shared" si="28"/>
        <v>23759.867931155601</v>
      </c>
      <c r="AL11" s="189">
        <f t="shared" si="28"/>
        <v>4</v>
      </c>
      <c r="AM11" s="94">
        <f t="shared" si="28"/>
        <v>23759.867931155601</v>
      </c>
      <c r="AN11" s="189">
        <f t="shared" si="28"/>
        <v>2</v>
      </c>
      <c r="AO11" s="94">
        <f t="shared" si="28"/>
        <v>14881.279592553563</v>
      </c>
      <c r="AP11" s="189">
        <f t="shared" si="28"/>
        <v>1</v>
      </c>
      <c r="AQ11" s="94">
        <f t="shared" si="28"/>
        <v>7440.6397962767815</v>
      </c>
      <c r="AR11" s="189">
        <f t="shared" si="28"/>
        <v>0</v>
      </c>
      <c r="AS11" s="94">
        <f t="shared" si="28"/>
        <v>0</v>
      </c>
      <c r="AT11" s="189">
        <f t="shared" si="28"/>
        <v>0</v>
      </c>
      <c r="AU11" s="94">
        <f t="shared" si="28"/>
        <v>0</v>
      </c>
      <c r="AV11" s="189">
        <f t="shared" si="28"/>
        <v>0</v>
      </c>
      <c r="AW11" s="94">
        <f t="shared" si="28"/>
        <v>0</v>
      </c>
      <c r="AX11" s="189">
        <f t="shared" si="28"/>
        <v>0</v>
      </c>
      <c r="AY11" s="94">
        <f t="shared" si="28"/>
        <v>0</v>
      </c>
      <c r="AZ11" s="189">
        <f t="shared" si="28"/>
        <v>0</v>
      </c>
      <c r="BA11" s="94">
        <f t="shared" si="28"/>
        <v>0</v>
      </c>
      <c r="BB11" s="55">
        <f>BA11+AY11+AW11+AU11+AS11+AQ11+AO11+AM11+AK11+AI11+AG11+AE11</f>
        <v>167757.02406041449</v>
      </c>
      <c r="BC11" s="30"/>
    </row>
    <row r="12" spans="1:55" ht="4.3499999999999996" customHeight="1" x14ac:dyDescent="0.25">
      <c r="A12" s="54"/>
      <c r="B12" s="78"/>
      <c r="C12" s="2"/>
      <c r="D12" s="83"/>
      <c r="E12" s="2"/>
      <c r="F12" s="83"/>
      <c r="G12" s="2"/>
      <c r="H12" s="83"/>
      <c r="I12" s="2"/>
      <c r="J12" s="83"/>
      <c r="K12" s="2"/>
      <c r="L12" s="83"/>
      <c r="M12" s="2"/>
      <c r="N12" s="83"/>
      <c r="O12" s="2"/>
      <c r="P12" s="83"/>
      <c r="Q12" s="2"/>
      <c r="R12" s="83"/>
      <c r="S12" s="2"/>
      <c r="T12" s="83"/>
      <c r="U12" s="2"/>
      <c r="V12" s="83"/>
      <c r="W12" s="2"/>
      <c r="X12" s="83"/>
      <c r="Y12" s="2"/>
      <c r="Z12" s="83"/>
      <c r="AA12" s="187"/>
      <c r="AB12" s="51"/>
      <c r="AC12" s="78"/>
      <c r="AD12" s="2"/>
      <c r="AE12" s="83"/>
      <c r="AF12" s="2"/>
      <c r="AG12" s="83"/>
      <c r="AH12" s="2"/>
      <c r="AI12" s="83"/>
      <c r="AJ12" s="2"/>
      <c r="AK12" s="83"/>
      <c r="AL12" s="2"/>
      <c r="AM12" s="83"/>
      <c r="AN12" s="2"/>
      <c r="AO12" s="83"/>
      <c r="AP12" s="2"/>
      <c r="AQ12" s="83"/>
      <c r="AR12" s="2"/>
      <c r="AS12" s="83"/>
      <c r="AT12" s="2"/>
      <c r="AU12" s="83"/>
      <c r="AV12" s="2"/>
      <c r="AW12" s="83"/>
      <c r="AX12" s="2"/>
      <c r="AY12" s="83"/>
      <c r="AZ12" s="2"/>
      <c r="BA12" s="83"/>
      <c r="BB12" s="54"/>
      <c r="BC12" s="23"/>
    </row>
    <row r="13" spans="1:55" ht="15.75" thickBot="1" x14ac:dyDescent="0.3">
      <c r="A13" s="246" t="s">
        <v>18</v>
      </c>
      <c r="B13" s="78">
        <f>30*52/12</f>
        <v>130</v>
      </c>
      <c r="C13" s="2"/>
      <c r="D13" s="209">
        <f>($B13*C$11)</f>
        <v>0</v>
      </c>
      <c r="E13" s="2"/>
      <c r="F13" s="209">
        <f>($B13*E$11)</f>
        <v>0</v>
      </c>
      <c r="G13" s="2"/>
      <c r="H13" s="209">
        <f>($B13*G$11)</f>
        <v>780</v>
      </c>
      <c r="I13" s="2"/>
      <c r="J13" s="209">
        <f>($B13*I$11)</f>
        <v>780</v>
      </c>
      <c r="K13" s="2"/>
      <c r="L13" s="209">
        <f>($B13*K$11)</f>
        <v>780</v>
      </c>
      <c r="M13" s="2"/>
      <c r="N13" s="209">
        <f>($B13*M$11)</f>
        <v>780</v>
      </c>
      <c r="O13" s="2"/>
      <c r="P13" s="209">
        <f>($B13*O$11)</f>
        <v>780</v>
      </c>
      <c r="Q13" s="2"/>
      <c r="R13" s="209">
        <f>($B13*Q$11)</f>
        <v>780</v>
      </c>
      <c r="S13" s="2"/>
      <c r="T13" s="209">
        <f>($B13*S$11)</f>
        <v>780</v>
      </c>
      <c r="U13" s="2"/>
      <c r="V13" s="209">
        <f>($B13*U$11)</f>
        <v>780</v>
      </c>
      <c r="W13" s="2"/>
      <c r="X13" s="209">
        <f>($B13*W$11)</f>
        <v>780</v>
      </c>
      <c r="Y13" s="2"/>
      <c r="Z13" s="209">
        <f>($B13*Y$11)</f>
        <v>780</v>
      </c>
      <c r="AA13" s="187"/>
      <c r="AB13" s="51"/>
      <c r="AC13" s="78">
        <f>30*52/12</f>
        <v>130</v>
      </c>
      <c r="AD13" s="2"/>
      <c r="AE13" s="209">
        <f>($B13*AD$11)</f>
        <v>780</v>
      </c>
      <c r="AF13" s="2"/>
      <c r="AG13" s="209">
        <f>($B13*AF$11)</f>
        <v>780</v>
      </c>
      <c r="AH13" s="2"/>
      <c r="AI13" s="209">
        <f>($B13*AH$11)</f>
        <v>780</v>
      </c>
      <c r="AJ13" s="2"/>
      <c r="AK13" s="209">
        <f>($B13*AJ$11)</f>
        <v>520</v>
      </c>
      <c r="AL13" s="2"/>
      <c r="AM13" s="209">
        <f>($B13*AL$11)</f>
        <v>520</v>
      </c>
      <c r="AN13" s="2"/>
      <c r="AO13" s="209">
        <f>($B13*AN$11)</f>
        <v>260</v>
      </c>
      <c r="AP13" s="2"/>
      <c r="AQ13" s="209">
        <f>($B13*AP$11)</f>
        <v>130</v>
      </c>
      <c r="AR13" s="2"/>
      <c r="AS13" s="209">
        <f>($B13*AR$11)</f>
        <v>0</v>
      </c>
      <c r="AT13" s="2"/>
      <c r="AU13" s="209">
        <f>($B13*AT$11)</f>
        <v>0</v>
      </c>
      <c r="AV13" s="2"/>
      <c r="AW13" s="209">
        <f>($B13*AV$11)</f>
        <v>0</v>
      </c>
      <c r="AX13" s="2"/>
      <c r="AY13" s="209">
        <f>($B13*AX$11)</f>
        <v>0</v>
      </c>
      <c r="AZ13" s="2"/>
      <c r="BA13" s="209">
        <f>($B13*AZ$11)</f>
        <v>0</v>
      </c>
      <c r="BB13" s="54"/>
      <c r="BC13" s="23"/>
    </row>
    <row r="14" spans="1:55" x14ac:dyDescent="0.25">
      <c r="A14" s="249" t="s">
        <v>25</v>
      </c>
      <c r="B14" s="253" t="s">
        <v>165</v>
      </c>
      <c r="C14" s="2"/>
      <c r="D14" s="83"/>
      <c r="F14" s="83"/>
      <c r="H14" s="83"/>
      <c r="J14" s="83"/>
      <c r="L14" s="83"/>
      <c r="N14" s="83"/>
      <c r="P14" s="83"/>
      <c r="R14" s="83"/>
      <c r="T14" s="83"/>
      <c r="V14" s="83"/>
      <c r="X14" s="83"/>
      <c r="Z14" s="83"/>
      <c r="AA14" s="187"/>
      <c r="AB14" s="51"/>
      <c r="AC14" s="253" t="s">
        <v>165</v>
      </c>
      <c r="AD14" s="2"/>
      <c r="AE14" s="83"/>
      <c r="AG14" s="83"/>
      <c r="AI14" s="83"/>
      <c r="AK14" s="83"/>
      <c r="AM14" s="83"/>
      <c r="AO14" s="83"/>
      <c r="AQ14" s="83"/>
      <c r="AS14" s="83"/>
      <c r="AU14" s="83"/>
      <c r="AW14" s="83"/>
      <c r="AY14" s="83"/>
      <c r="BA14" s="83"/>
      <c r="BB14" s="53"/>
      <c r="BC14" s="29"/>
    </row>
    <row r="15" spans="1:55" x14ac:dyDescent="0.25">
      <c r="A15" s="246" t="s">
        <v>11</v>
      </c>
      <c r="B15" s="251">
        <v>100</v>
      </c>
      <c r="C15" s="2"/>
      <c r="D15" s="83">
        <f>($B15*C$11)</f>
        <v>0</v>
      </c>
      <c r="F15" s="83">
        <f>($B15*E$11)</f>
        <v>0</v>
      </c>
      <c r="H15" s="83">
        <f>($B15*G$11)</f>
        <v>600</v>
      </c>
      <c r="J15" s="83">
        <f>($B15*I$11)</f>
        <v>600</v>
      </c>
      <c r="L15" s="83">
        <f>($B15*K$11)</f>
        <v>600</v>
      </c>
      <c r="N15" s="83">
        <f>($B15*M$11)</f>
        <v>600</v>
      </c>
      <c r="P15" s="83">
        <f>($B15*O$11)</f>
        <v>600</v>
      </c>
      <c r="R15" s="83">
        <f>($B15*Q$11)</f>
        <v>600</v>
      </c>
      <c r="T15" s="83">
        <f>($B15*S$11)</f>
        <v>600</v>
      </c>
      <c r="V15" s="83">
        <f>($B15*U$11)</f>
        <v>600</v>
      </c>
      <c r="X15" s="83">
        <f>($B15*W$11)</f>
        <v>600</v>
      </c>
      <c r="Z15" s="83">
        <f>($B15*Y$11)</f>
        <v>600</v>
      </c>
      <c r="AA15" s="187"/>
      <c r="AB15" s="51"/>
      <c r="AC15" s="251">
        <v>100</v>
      </c>
      <c r="AD15" s="2"/>
      <c r="AE15" s="83">
        <f>($B15*AD$11)</f>
        <v>600</v>
      </c>
      <c r="AG15" s="83">
        <f>($B15*AF$11)</f>
        <v>600</v>
      </c>
      <c r="AI15" s="83">
        <f>($B15*AH$11)</f>
        <v>600</v>
      </c>
      <c r="AK15" s="83">
        <f>($B15*AJ$11)</f>
        <v>400</v>
      </c>
      <c r="AM15" s="83">
        <f>($B15*AL$11)</f>
        <v>400</v>
      </c>
      <c r="AO15" s="83">
        <f>($B15*AN$11)</f>
        <v>200</v>
      </c>
      <c r="AQ15" s="83">
        <f>($B15*AP$11)</f>
        <v>100</v>
      </c>
      <c r="AS15" s="83">
        <f>($B15*AR$11)</f>
        <v>0</v>
      </c>
      <c r="AU15" s="83">
        <f>($B15*AT$11)</f>
        <v>0</v>
      </c>
      <c r="AW15" s="83">
        <f>($B15*AV$11)</f>
        <v>0</v>
      </c>
      <c r="AY15" s="83">
        <f>($B15*AX$11)</f>
        <v>0</v>
      </c>
      <c r="BA15" s="83">
        <f>($B15*AZ$11)</f>
        <v>0</v>
      </c>
      <c r="BB15" s="54"/>
      <c r="BC15" s="23"/>
    </row>
    <row r="16" spans="1:55" x14ac:dyDescent="0.25">
      <c r="A16" s="246" t="s">
        <v>19</v>
      </c>
      <c r="B16" s="253" t="s">
        <v>165</v>
      </c>
      <c r="C16" s="2"/>
      <c r="D16" s="83"/>
      <c r="F16" s="83"/>
      <c r="H16" s="83"/>
      <c r="J16" s="83"/>
      <c r="L16" s="83"/>
      <c r="N16" s="83"/>
      <c r="P16" s="83"/>
      <c r="R16" s="83"/>
      <c r="T16" s="83"/>
      <c r="V16" s="83"/>
      <c r="X16" s="83"/>
      <c r="Z16" s="83"/>
      <c r="AA16" s="187"/>
      <c r="AB16" s="51"/>
      <c r="AC16" s="253" t="s">
        <v>165</v>
      </c>
      <c r="AD16" s="2"/>
      <c r="AE16" s="83"/>
      <c r="AG16" s="83"/>
      <c r="AI16" s="83"/>
      <c r="AK16" s="83"/>
      <c r="AM16" s="83"/>
      <c r="AO16" s="83"/>
      <c r="AQ16" s="83"/>
      <c r="AS16" s="83"/>
      <c r="AU16" s="83"/>
      <c r="AW16" s="83"/>
      <c r="AY16" s="83"/>
      <c r="BA16" s="83"/>
      <c r="BB16" s="54"/>
      <c r="BC16" s="23"/>
    </row>
    <row r="17" spans="1:55" x14ac:dyDescent="0.25">
      <c r="A17" s="246" t="s">
        <v>21</v>
      </c>
      <c r="B17" s="251">
        <v>250</v>
      </c>
      <c r="C17" s="2"/>
      <c r="D17" s="83">
        <f>($B17*C$11)</f>
        <v>0</v>
      </c>
      <c r="F17" s="83">
        <f>($B17*E$11)</f>
        <v>0</v>
      </c>
      <c r="H17" s="83">
        <f>($B17*G$11)</f>
        <v>1500</v>
      </c>
      <c r="J17" s="83">
        <f>($B17*I$11)</f>
        <v>1500</v>
      </c>
      <c r="L17" s="83">
        <f>($B17*K$11)</f>
        <v>1500</v>
      </c>
      <c r="N17" s="83">
        <f>($B17*M$11)</f>
        <v>1500</v>
      </c>
      <c r="P17" s="83">
        <f>($B17*O$11)</f>
        <v>1500</v>
      </c>
      <c r="R17" s="83">
        <f>($B17*Q$11)</f>
        <v>1500</v>
      </c>
      <c r="T17" s="83">
        <f>($B17*S$11)</f>
        <v>1500</v>
      </c>
      <c r="V17" s="83">
        <f>($B17*U$11)</f>
        <v>1500</v>
      </c>
      <c r="X17" s="83">
        <f>($B17*W$11)</f>
        <v>1500</v>
      </c>
      <c r="Z17" s="83">
        <f>($B17*Y$11)</f>
        <v>1500</v>
      </c>
      <c r="AA17" s="187"/>
      <c r="AB17" s="51"/>
      <c r="AC17" s="251">
        <v>250</v>
      </c>
      <c r="AD17" s="2"/>
      <c r="AE17" s="83">
        <f>($B17*AD$11)</f>
        <v>1500</v>
      </c>
      <c r="AG17" s="83">
        <f>($B17*AF$11)</f>
        <v>1500</v>
      </c>
      <c r="AI17" s="83">
        <f>($B17*AH$11)</f>
        <v>1500</v>
      </c>
      <c r="AK17" s="83">
        <f>($B17*AJ$11)</f>
        <v>1000</v>
      </c>
      <c r="AM17" s="83">
        <f>($B17*AL$11)</f>
        <v>1000</v>
      </c>
      <c r="AO17" s="83">
        <f>($B17*AN$11)</f>
        <v>500</v>
      </c>
      <c r="AQ17" s="83">
        <f>($B17*AP$11)</f>
        <v>250</v>
      </c>
      <c r="AS17" s="83">
        <f>($B17*AR$11)</f>
        <v>0</v>
      </c>
      <c r="AU17" s="83">
        <f>($B17*AT$11)</f>
        <v>0</v>
      </c>
      <c r="AW17" s="83">
        <f>($B17*AV$11)</f>
        <v>0</v>
      </c>
      <c r="AY17" s="83">
        <f>($B17*AX$11)</f>
        <v>0</v>
      </c>
      <c r="BA17" s="83">
        <f>($B17*AZ$11)</f>
        <v>0</v>
      </c>
      <c r="BB17" s="54"/>
      <c r="BC17" s="23"/>
    </row>
    <row r="18" spans="1:55" ht="15.75" thickBot="1" x14ac:dyDescent="0.3">
      <c r="A18" s="250" t="s">
        <v>27</v>
      </c>
      <c r="B18" s="252">
        <v>100</v>
      </c>
      <c r="C18" s="2"/>
      <c r="D18" s="83">
        <f>($B18*C$11)</f>
        <v>0</v>
      </c>
      <c r="F18" s="83">
        <f>($B18*E$11)</f>
        <v>0</v>
      </c>
      <c r="H18" s="83">
        <f>($B18*G$11)</f>
        <v>600</v>
      </c>
      <c r="J18" s="83">
        <f>($B18*I$11)</f>
        <v>600</v>
      </c>
      <c r="L18" s="83">
        <f>($B18*K$11)</f>
        <v>600</v>
      </c>
      <c r="N18" s="83">
        <f>($B18*M$11)</f>
        <v>600</v>
      </c>
      <c r="P18" s="83">
        <f>($B18*O$11)</f>
        <v>600</v>
      </c>
      <c r="R18" s="83">
        <f>($B18*Q$11)</f>
        <v>600</v>
      </c>
      <c r="T18" s="83">
        <f>($B18*S$11)</f>
        <v>600</v>
      </c>
      <c r="V18" s="83">
        <f>($B18*U$11)</f>
        <v>600</v>
      </c>
      <c r="X18" s="83">
        <f>($B18*W$11)</f>
        <v>600</v>
      </c>
      <c r="Z18" s="83">
        <f>($B18*Y$11)</f>
        <v>600</v>
      </c>
      <c r="AA18" s="187"/>
      <c r="AB18" s="51"/>
      <c r="AC18" s="252">
        <v>100</v>
      </c>
      <c r="AD18" s="2"/>
      <c r="AE18" s="83">
        <f>($B18*AD$11)</f>
        <v>600</v>
      </c>
      <c r="AG18" s="83">
        <f>($B18*AF$11)</f>
        <v>600</v>
      </c>
      <c r="AI18" s="83">
        <f>($B18*AH$11)</f>
        <v>600</v>
      </c>
      <c r="AK18" s="83">
        <f>($B18*AJ$11)</f>
        <v>400</v>
      </c>
      <c r="AM18" s="83">
        <f>($B18*AL$11)</f>
        <v>400</v>
      </c>
      <c r="AO18" s="83">
        <f>($B18*AN$11)</f>
        <v>200</v>
      </c>
      <c r="AQ18" s="83">
        <f>($B18*AP$11)</f>
        <v>100</v>
      </c>
      <c r="AS18" s="83">
        <f>($B18*AR$11)</f>
        <v>0</v>
      </c>
      <c r="AU18" s="83">
        <f>($B18*AT$11)</f>
        <v>0</v>
      </c>
      <c r="AW18" s="83">
        <f>($B18*AV$11)</f>
        <v>0</v>
      </c>
      <c r="AY18" s="83">
        <f>($B18*AX$11)</f>
        <v>0</v>
      </c>
      <c r="BA18" s="83">
        <f>($B18*AZ$11)</f>
        <v>0</v>
      </c>
      <c r="BB18" s="54"/>
      <c r="BC18" s="23"/>
    </row>
    <row r="19" spans="1:55" ht="15.75" thickBot="1" x14ac:dyDescent="0.3">
      <c r="A19" s="248" t="s">
        <v>12</v>
      </c>
      <c r="B19" s="247"/>
      <c r="C19" s="17"/>
      <c r="D19" s="18">
        <f>SUM(D12:D18)</f>
        <v>0</v>
      </c>
      <c r="E19" s="245"/>
      <c r="F19" s="18">
        <f t="shared" ref="F19:Z19" si="29">SUM(F12:F18)</f>
        <v>0</v>
      </c>
      <c r="G19" s="245"/>
      <c r="H19" s="18">
        <f t="shared" si="29"/>
        <v>3480</v>
      </c>
      <c r="I19" s="245"/>
      <c r="J19" s="18">
        <f t="shared" si="29"/>
        <v>3480</v>
      </c>
      <c r="K19" s="245"/>
      <c r="L19" s="18">
        <f t="shared" si="29"/>
        <v>3480</v>
      </c>
      <c r="M19" s="245"/>
      <c r="N19" s="18">
        <f t="shared" si="29"/>
        <v>3480</v>
      </c>
      <c r="O19" s="245"/>
      <c r="P19" s="18">
        <f t="shared" si="29"/>
        <v>3480</v>
      </c>
      <c r="Q19" s="245"/>
      <c r="R19" s="18">
        <f t="shared" si="29"/>
        <v>3480</v>
      </c>
      <c r="S19" s="245"/>
      <c r="T19" s="18">
        <f t="shared" si="29"/>
        <v>3480</v>
      </c>
      <c r="U19" s="245"/>
      <c r="V19" s="18">
        <f t="shared" si="29"/>
        <v>3480</v>
      </c>
      <c r="W19" s="245"/>
      <c r="X19" s="18">
        <f t="shared" si="29"/>
        <v>3480</v>
      </c>
      <c r="Y19" s="245"/>
      <c r="Z19" s="18">
        <f t="shared" si="29"/>
        <v>3480</v>
      </c>
      <c r="AA19" s="187"/>
      <c r="AB19" s="51"/>
      <c r="AC19" s="247"/>
      <c r="AD19" s="17"/>
      <c r="AE19" s="18">
        <f>SUM(AE12:AE18)</f>
        <v>3480</v>
      </c>
      <c r="AF19" s="245"/>
      <c r="AG19" s="18">
        <f>SUM(AG12:AG18)</f>
        <v>3480</v>
      </c>
      <c r="AH19" s="245"/>
      <c r="AI19" s="18">
        <f>SUM(AI12:AI18)</f>
        <v>3480</v>
      </c>
      <c r="AJ19" s="245"/>
      <c r="AK19" s="18">
        <f>SUM(AK12:AK18)</f>
        <v>2320</v>
      </c>
      <c r="AL19" s="245"/>
      <c r="AM19" s="18">
        <f>SUM(AM12:AM18)</f>
        <v>2320</v>
      </c>
      <c r="AN19" s="245"/>
      <c r="AO19" s="18">
        <f>SUM(AO12:AO18)</f>
        <v>1160</v>
      </c>
      <c r="AP19" s="245"/>
      <c r="AQ19" s="18">
        <f>SUM(AQ12:AQ18)</f>
        <v>580</v>
      </c>
      <c r="AR19" s="245"/>
      <c r="AS19" s="18">
        <f>SUM(AS12:AS18)</f>
        <v>0</v>
      </c>
      <c r="AT19" s="245"/>
      <c r="AU19" s="18">
        <f>SUM(AU12:AU18)</f>
        <v>0</v>
      </c>
      <c r="AV19" s="245"/>
      <c r="AW19" s="18">
        <f>SUM(AW12:AW18)</f>
        <v>0</v>
      </c>
      <c r="AX19" s="245"/>
      <c r="AY19" s="18">
        <f>SUM(AY12:AY18)</f>
        <v>0</v>
      </c>
      <c r="AZ19" s="245"/>
      <c r="BA19" s="18">
        <f>SUM(BA12:BA18)</f>
        <v>0</v>
      </c>
      <c r="BB19" s="54"/>
      <c r="BC19" s="23"/>
    </row>
    <row r="20" spans="1:55" ht="4.3499999999999996" customHeight="1" thickBot="1" x14ac:dyDescent="0.3">
      <c r="A20" s="54"/>
      <c r="B20" s="78"/>
      <c r="C20" s="2"/>
      <c r="D20" s="83"/>
      <c r="E20" s="2"/>
      <c r="F20" s="83"/>
      <c r="G20" s="2"/>
      <c r="H20" s="83"/>
      <c r="I20" s="2"/>
      <c r="J20" s="83"/>
      <c r="K20" s="2"/>
      <c r="L20" s="83"/>
      <c r="M20" s="2"/>
      <c r="N20" s="83"/>
      <c r="O20" s="2"/>
      <c r="P20" s="83"/>
      <c r="Q20" s="2"/>
      <c r="R20" s="83"/>
      <c r="S20" s="2"/>
      <c r="T20" s="83"/>
      <c r="U20" s="2"/>
      <c r="V20" s="83"/>
      <c r="W20" s="2"/>
      <c r="X20" s="83"/>
      <c r="Y20" s="2"/>
      <c r="Z20" s="83"/>
      <c r="AA20" s="187"/>
      <c r="AB20" s="51"/>
      <c r="AC20" s="78"/>
      <c r="AD20" s="2"/>
      <c r="AE20" s="83"/>
      <c r="AF20" s="2"/>
      <c r="AG20" s="83"/>
      <c r="AH20" s="2"/>
      <c r="AI20" s="83"/>
      <c r="AJ20" s="2"/>
      <c r="AK20" s="83"/>
      <c r="AL20" s="2"/>
      <c r="AM20" s="83"/>
      <c r="AN20" s="2"/>
      <c r="AO20" s="83"/>
      <c r="AP20" s="2"/>
      <c r="AQ20" s="83"/>
      <c r="AR20" s="2"/>
      <c r="AS20" s="83"/>
      <c r="AT20" s="2"/>
      <c r="AU20" s="83"/>
      <c r="AV20" s="2"/>
      <c r="AW20" s="83"/>
      <c r="AX20" s="2"/>
      <c r="AY20" s="83"/>
      <c r="AZ20" s="2"/>
      <c r="BA20" s="83"/>
      <c r="BB20" s="55">
        <f>BA20+AY20+AW20+AU20+AS20+AQ20+AO20+AM20+AK20+AI20+AG20+AE20</f>
        <v>0</v>
      </c>
      <c r="BC20" s="30"/>
    </row>
    <row r="21" spans="1:55" x14ac:dyDescent="0.25">
      <c r="A21" t="s">
        <v>20</v>
      </c>
      <c r="B21" s="15"/>
      <c r="C21" s="2"/>
      <c r="D21" s="209"/>
      <c r="E21" s="2"/>
      <c r="F21" s="209"/>
      <c r="G21" s="2"/>
      <c r="H21" s="209"/>
      <c r="I21" s="2"/>
      <c r="J21" s="209"/>
      <c r="K21" s="2"/>
      <c r="L21" s="209"/>
      <c r="M21" s="2"/>
      <c r="N21" s="209"/>
      <c r="O21" s="2"/>
      <c r="P21" s="209"/>
      <c r="Q21" s="2"/>
      <c r="R21" s="209"/>
      <c r="S21" s="2"/>
      <c r="T21" s="209"/>
      <c r="U21" s="2"/>
      <c r="V21" s="209"/>
      <c r="W21" s="2"/>
      <c r="X21" s="209"/>
      <c r="Y21" s="2"/>
      <c r="Z21" s="209"/>
      <c r="AA21" s="187"/>
      <c r="AB21" s="51"/>
      <c r="AC21" s="15"/>
      <c r="AD21" s="2"/>
      <c r="AE21" s="209"/>
      <c r="AF21" s="2"/>
      <c r="AG21" s="209"/>
      <c r="AH21" s="2"/>
      <c r="AI21" s="209"/>
      <c r="AJ21" s="2"/>
      <c r="AK21" s="209"/>
      <c r="AL21" s="2"/>
      <c r="AM21" s="209"/>
      <c r="AN21" s="2"/>
      <c r="AO21" s="209"/>
      <c r="AP21" s="2"/>
      <c r="AQ21" s="209"/>
      <c r="AR21" s="2"/>
      <c r="AS21" s="209"/>
      <c r="AT21" s="2"/>
      <c r="AU21" s="209">
        <v>800</v>
      </c>
      <c r="AV21" s="2"/>
      <c r="AW21" s="209"/>
      <c r="AX21" s="2"/>
      <c r="AY21" s="209"/>
      <c r="AZ21" s="2"/>
      <c r="BA21" s="209"/>
      <c r="BB21" s="54"/>
      <c r="BC21" s="23"/>
    </row>
    <row r="22" spans="1:55" x14ac:dyDescent="0.25">
      <c r="A22" s="32" t="s">
        <v>26</v>
      </c>
      <c r="B22" s="15">
        <v>2000</v>
      </c>
      <c r="C22" s="2"/>
      <c r="D22" s="209">
        <f t="shared" ref="D22:H26" si="30">B22</f>
        <v>2000</v>
      </c>
      <c r="E22" s="2"/>
      <c r="F22" s="209">
        <f t="shared" si="30"/>
        <v>2000</v>
      </c>
      <c r="G22" s="2"/>
      <c r="H22" s="209">
        <f t="shared" si="30"/>
        <v>2000</v>
      </c>
      <c r="I22" s="2"/>
      <c r="J22" s="209"/>
      <c r="K22" s="2"/>
      <c r="L22" s="209"/>
      <c r="M22" s="2"/>
      <c r="N22" s="209"/>
      <c r="O22" s="2"/>
      <c r="P22" s="209"/>
      <c r="Q22" s="2"/>
      <c r="R22" s="209"/>
      <c r="S22" s="2"/>
      <c r="T22" s="209"/>
      <c r="U22" s="2"/>
      <c r="V22" s="209"/>
      <c r="W22" s="2"/>
      <c r="X22" s="209"/>
      <c r="Y22" s="2"/>
      <c r="Z22" s="209"/>
      <c r="AA22" s="187"/>
      <c r="AB22" s="51"/>
      <c r="AC22" s="15"/>
      <c r="AD22" s="2"/>
      <c r="AE22" s="209"/>
      <c r="AF22" s="2"/>
      <c r="AG22" s="209"/>
      <c r="AH22" s="2"/>
      <c r="AI22" s="2"/>
      <c r="AJ22" s="2"/>
      <c r="AK22" s="209"/>
      <c r="AL22" s="2"/>
      <c r="AM22" s="209"/>
      <c r="AN22" s="2"/>
      <c r="AO22" s="209"/>
      <c r="AP22" s="2"/>
      <c r="AQ22" s="209"/>
      <c r="AR22" s="2"/>
      <c r="AS22" s="209"/>
      <c r="AT22" s="2"/>
      <c r="AU22" s="209">
        <v>2000</v>
      </c>
      <c r="AV22" s="2"/>
      <c r="AW22" s="209"/>
      <c r="AX22" s="2"/>
      <c r="AY22" s="209"/>
      <c r="AZ22" s="2"/>
      <c r="BA22" s="209"/>
      <c r="BB22" s="54"/>
      <c r="BC22" s="23"/>
    </row>
    <row r="23" spans="1:55" x14ac:dyDescent="0.25">
      <c r="A23" s="32" t="s">
        <v>22</v>
      </c>
      <c r="B23" s="15">
        <v>1000</v>
      </c>
      <c r="C23" s="2"/>
      <c r="D23" s="209">
        <f t="shared" si="30"/>
        <v>1000</v>
      </c>
      <c r="E23" s="2"/>
      <c r="F23" s="209">
        <f t="shared" si="30"/>
        <v>1000</v>
      </c>
      <c r="G23" s="2"/>
      <c r="H23" s="209">
        <f t="shared" si="30"/>
        <v>1000</v>
      </c>
      <c r="I23" s="2"/>
      <c r="J23" s="209"/>
      <c r="K23" s="2"/>
      <c r="L23" s="209"/>
      <c r="M23" s="2"/>
      <c r="N23" s="209"/>
      <c r="O23" s="2"/>
      <c r="P23" s="209"/>
      <c r="Q23" s="2"/>
      <c r="R23" s="209"/>
      <c r="S23" s="2"/>
      <c r="T23" s="209">
        <v>1000</v>
      </c>
      <c r="U23" s="2"/>
      <c r="V23" s="209"/>
      <c r="W23" s="2"/>
      <c r="X23" s="209"/>
      <c r="Y23" s="2"/>
      <c r="Z23" s="209"/>
      <c r="AA23" s="187"/>
      <c r="AB23" s="51"/>
      <c r="AC23" s="15"/>
      <c r="AD23" s="2"/>
      <c r="AE23" s="209"/>
      <c r="AF23" s="2"/>
      <c r="AG23" s="209"/>
      <c r="AH23" s="2"/>
      <c r="AI23" s="2"/>
      <c r="AJ23" s="2"/>
      <c r="AK23" s="209"/>
      <c r="AL23" s="2"/>
      <c r="AM23" s="209"/>
      <c r="AN23" s="2"/>
      <c r="AO23" s="209"/>
      <c r="AP23" s="2"/>
      <c r="AQ23" s="209"/>
      <c r="AR23" s="2"/>
      <c r="AS23" s="209"/>
      <c r="AT23" s="2"/>
      <c r="AU23" s="209">
        <v>1000</v>
      </c>
      <c r="AV23" s="2"/>
      <c r="AW23" s="209"/>
      <c r="AX23" s="2"/>
      <c r="AY23" s="209"/>
      <c r="AZ23" s="2"/>
      <c r="BA23" s="209"/>
      <c r="BB23" s="54"/>
      <c r="BC23" s="23"/>
    </row>
    <row r="24" spans="1:55" x14ac:dyDescent="0.25">
      <c r="A24" s="32" t="s">
        <v>23</v>
      </c>
      <c r="B24" s="15"/>
      <c r="C24" s="2"/>
      <c r="D24" s="209">
        <f t="shared" si="30"/>
        <v>0</v>
      </c>
      <c r="E24" s="2"/>
      <c r="F24" s="209">
        <f t="shared" si="30"/>
        <v>0</v>
      </c>
      <c r="G24" s="2"/>
      <c r="H24" s="209">
        <f t="shared" si="30"/>
        <v>0</v>
      </c>
      <c r="I24" s="2"/>
      <c r="J24" s="209"/>
      <c r="K24" s="2"/>
      <c r="L24" s="209"/>
      <c r="M24" s="2"/>
      <c r="N24" s="209"/>
      <c r="O24" s="2"/>
      <c r="P24" s="209"/>
      <c r="Q24" s="2"/>
      <c r="R24" s="209"/>
      <c r="S24" s="2"/>
      <c r="T24" s="209"/>
      <c r="U24" s="2"/>
      <c r="V24" s="209"/>
      <c r="W24" s="2"/>
      <c r="X24" s="209"/>
      <c r="Y24" s="2"/>
      <c r="Z24" s="209"/>
      <c r="AA24" s="187"/>
      <c r="AB24" s="51"/>
      <c r="AC24" s="15"/>
      <c r="AD24" s="2"/>
      <c r="AE24" s="209"/>
      <c r="AF24" s="2"/>
      <c r="AG24" s="209"/>
      <c r="AH24" s="2"/>
      <c r="AI24" s="2"/>
      <c r="AJ24" s="2"/>
      <c r="AK24" s="209"/>
      <c r="AL24" s="2"/>
      <c r="AM24" s="209"/>
      <c r="AN24" s="2"/>
      <c r="AO24" s="209"/>
      <c r="AP24" s="2"/>
      <c r="AQ24" s="209"/>
      <c r="AR24" s="2"/>
      <c r="AS24" s="209"/>
      <c r="AT24" s="2"/>
      <c r="AU24" s="209"/>
      <c r="AV24" s="2"/>
      <c r="AW24" s="209">
        <f>1-(BB34)-1</f>
        <v>46971.966736916052</v>
      </c>
      <c r="AX24" s="289" t="s">
        <v>183</v>
      </c>
      <c r="AY24" s="209"/>
      <c r="AZ24" s="2"/>
      <c r="BA24" s="209"/>
      <c r="BB24" s="54"/>
      <c r="BC24" s="23"/>
    </row>
    <row r="25" spans="1:55" x14ac:dyDescent="0.25">
      <c r="A25" s="32" t="s">
        <v>24</v>
      </c>
      <c r="B25" s="15">
        <v>60</v>
      </c>
      <c r="C25" s="2"/>
      <c r="D25" s="209">
        <f t="shared" si="30"/>
        <v>60</v>
      </c>
      <c r="E25" s="2"/>
      <c r="F25" s="209">
        <f t="shared" si="30"/>
        <v>60</v>
      </c>
      <c r="G25" s="2"/>
      <c r="H25" s="209">
        <f t="shared" si="30"/>
        <v>60</v>
      </c>
      <c r="I25" s="2"/>
      <c r="J25" s="209"/>
      <c r="K25" s="2"/>
      <c r="L25" s="209"/>
      <c r="M25" s="2"/>
      <c r="N25" s="209"/>
      <c r="O25" s="2"/>
      <c r="P25" s="209"/>
      <c r="Q25" s="2"/>
      <c r="R25" s="209"/>
      <c r="S25" s="2"/>
      <c r="T25" s="209">
        <v>60</v>
      </c>
      <c r="U25" s="2"/>
      <c r="V25" s="209"/>
      <c r="W25" s="2"/>
      <c r="X25" s="209"/>
      <c r="Y25" s="2"/>
      <c r="Z25" s="209"/>
      <c r="AA25" s="187"/>
      <c r="AB25" s="51"/>
      <c r="AC25" s="15"/>
      <c r="AD25" s="2"/>
      <c r="AE25" s="209"/>
      <c r="AF25" s="2"/>
      <c r="AG25" s="209"/>
      <c r="AH25" s="2"/>
      <c r="AI25" s="2"/>
      <c r="AJ25" s="2"/>
      <c r="AK25" s="209"/>
      <c r="AL25" s="2"/>
      <c r="AM25" s="209"/>
      <c r="AN25" s="2"/>
      <c r="AO25" s="209"/>
      <c r="AP25" s="2"/>
      <c r="AQ25" s="209"/>
      <c r="AR25" s="2"/>
      <c r="AS25" s="209"/>
      <c r="AT25" s="2"/>
      <c r="AU25" s="209">
        <v>60</v>
      </c>
      <c r="AV25" s="2"/>
      <c r="AW25" s="209"/>
      <c r="AX25" s="2"/>
      <c r="AY25" s="209"/>
      <c r="AZ25" s="2"/>
      <c r="BA25" s="209"/>
      <c r="BB25" s="54"/>
      <c r="BC25" s="23"/>
    </row>
    <row r="26" spans="1:55" x14ac:dyDescent="0.25">
      <c r="A26" s="32" t="s">
        <v>29</v>
      </c>
      <c r="B26" s="15">
        <v>500</v>
      </c>
      <c r="C26" s="2"/>
      <c r="D26" s="209">
        <f t="shared" si="30"/>
        <v>500</v>
      </c>
      <c r="E26" s="2"/>
      <c r="F26" s="209">
        <f t="shared" si="30"/>
        <v>500</v>
      </c>
      <c r="G26" s="2"/>
      <c r="H26" s="209">
        <f t="shared" si="30"/>
        <v>500</v>
      </c>
      <c r="I26" s="2"/>
      <c r="J26" s="209"/>
      <c r="K26" s="2"/>
      <c r="L26" s="209"/>
      <c r="M26" s="2"/>
      <c r="N26" s="209"/>
      <c r="O26" s="2"/>
      <c r="P26" s="209"/>
      <c r="Q26" s="2"/>
      <c r="R26" s="209"/>
      <c r="S26" s="2"/>
      <c r="T26" s="209">
        <v>500</v>
      </c>
      <c r="U26" s="2"/>
      <c r="V26" s="209"/>
      <c r="W26" s="2"/>
      <c r="X26" s="209"/>
      <c r="Y26" s="2"/>
      <c r="Z26" s="209"/>
      <c r="AA26" s="187"/>
      <c r="AB26" s="51"/>
      <c r="AC26" s="15"/>
      <c r="AD26" s="2"/>
      <c r="AE26" s="209"/>
      <c r="AF26" s="2"/>
      <c r="AG26" s="209"/>
      <c r="AH26" s="2"/>
      <c r="AI26" s="209">
        <v>500</v>
      </c>
      <c r="AJ26" s="2"/>
      <c r="AK26" s="209"/>
      <c r="AL26" s="2"/>
      <c r="AM26" s="209"/>
      <c r="AN26" s="2"/>
      <c r="AO26" s="209"/>
      <c r="AP26" s="2"/>
      <c r="AQ26" s="209"/>
      <c r="AR26" s="2"/>
      <c r="AS26" s="209">
        <v>500</v>
      </c>
      <c r="AT26" s="2"/>
      <c r="AU26" s="209"/>
      <c r="AV26" s="2"/>
      <c r="AW26" s="209"/>
      <c r="AX26" s="2"/>
      <c r="AY26" s="209"/>
      <c r="AZ26" s="2"/>
      <c r="BA26" s="209"/>
      <c r="BB26" s="54"/>
      <c r="BC26" s="23"/>
    </row>
    <row r="27" spans="1:55" x14ac:dyDescent="0.25">
      <c r="A27" s="32" t="s">
        <v>28</v>
      </c>
      <c r="B27" s="15">
        <v>100</v>
      </c>
      <c r="C27" s="2"/>
      <c r="D27" s="209">
        <f>B27</f>
        <v>100</v>
      </c>
      <c r="E27" s="2"/>
      <c r="F27" s="209">
        <f>D27</f>
        <v>100</v>
      </c>
      <c r="G27" s="2"/>
      <c r="H27" s="209">
        <f>F27</f>
        <v>100</v>
      </c>
      <c r="I27" s="2"/>
      <c r="J27" s="209"/>
      <c r="K27" s="2"/>
      <c r="L27" s="209"/>
      <c r="M27" s="2"/>
      <c r="N27" s="209"/>
      <c r="O27" s="2"/>
      <c r="P27" s="209"/>
      <c r="Q27" s="2"/>
      <c r="R27" s="209"/>
      <c r="S27" s="2"/>
      <c r="T27" s="209">
        <v>100</v>
      </c>
      <c r="U27" s="2"/>
      <c r="V27" s="209"/>
      <c r="W27" s="2"/>
      <c r="X27" s="209"/>
      <c r="Y27" s="2"/>
      <c r="Z27" s="209"/>
      <c r="AA27" s="187"/>
      <c r="AB27" s="51"/>
      <c r="AC27" s="15"/>
      <c r="AD27" s="2"/>
      <c r="AE27" s="209"/>
      <c r="AF27" s="2"/>
      <c r="AG27" s="209"/>
      <c r="AH27" s="2"/>
      <c r="AI27" s="209">
        <v>100</v>
      </c>
      <c r="AJ27" s="2"/>
      <c r="AK27" s="209"/>
      <c r="AL27" s="2"/>
      <c r="AM27" s="209"/>
      <c r="AN27" s="2"/>
      <c r="AO27" s="209"/>
      <c r="AP27" s="2"/>
      <c r="AQ27" s="209"/>
      <c r="AR27" s="2"/>
      <c r="AS27" s="209"/>
      <c r="AT27" s="2"/>
      <c r="AU27" s="209"/>
      <c r="AV27" s="2"/>
      <c r="AW27" s="209"/>
      <c r="AX27" s="2"/>
      <c r="AY27" s="209"/>
      <c r="AZ27" s="2"/>
      <c r="BA27" s="209"/>
      <c r="BB27" s="54"/>
      <c r="BC27" s="23"/>
    </row>
    <row r="28" spans="1:55" ht="15.75" thickBot="1" x14ac:dyDescent="0.3">
      <c r="A28" s="32" t="s">
        <v>167</v>
      </c>
      <c r="B28" s="15">
        <v>10000</v>
      </c>
      <c r="C28" s="2"/>
      <c r="D28" s="209">
        <f>B28</f>
        <v>10000</v>
      </c>
      <c r="E28" s="2"/>
      <c r="F28" s="209">
        <f>D28</f>
        <v>10000</v>
      </c>
      <c r="G28" s="2">
        <v>8</v>
      </c>
      <c r="H28" s="209">
        <f>B28*G28</f>
        <v>80000</v>
      </c>
      <c r="I28" s="2"/>
      <c r="J28" s="209"/>
      <c r="K28" s="2"/>
      <c r="L28" s="209"/>
      <c r="M28" s="2"/>
      <c r="N28" s="209"/>
      <c r="O28" s="2"/>
      <c r="P28" s="209"/>
      <c r="Q28" s="2"/>
      <c r="R28" s="209"/>
      <c r="S28" s="2"/>
      <c r="T28" s="2"/>
      <c r="U28" s="2"/>
      <c r="V28" s="209"/>
      <c r="W28" s="2"/>
      <c r="X28" s="209"/>
      <c r="Y28" s="2"/>
      <c r="Z28" s="209"/>
      <c r="AA28" s="187"/>
      <c r="AB28" s="51"/>
      <c r="AC28" s="15"/>
      <c r="AD28" s="2"/>
      <c r="AE28" s="209"/>
      <c r="AF28" s="2"/>
      <c r="AG28" s="209"/>
      <c r="AH28" s="2"/>
      <c r="AI28" s="209"/>
      <c r="AJ28" s="2"/>
      <c r="AK28" s="209"/>
      <c r="AL28" s="2"/>
      <c r="AM28" s="209"/>
      <c r="AN28" s="2"/>
      <c r="AO28" s="209"/>
      <c r="AP28" s="2"/>
      <c r="AQ28" s="209"/>
      <c r="AR28" s="2"/>
      <c r="AS28" s="209"/>
      <c r="AT28" s="2"/>
      <c r="AU28" s="209"/>
      <c r="AV28" s="2"/>
      <c r="AW28" s="209"/>
      <c r="AX28" s="2"/>
      <c r="AY28" s="209"/>
      <c r="AZ28" s="2"/>
      <c r="BA28" s="209"/>
      <c r="BB28" s="54"/>
      <c r="BC28" s="23"/>
    </row>
    <row r="29" spans="1:55" ht="15.75" thickBot="1" x14ac:dyDescent="0.3">
      <c r="A29" s="65" t="s">
        <v>12</v>
      </c>
      <c r="B29" s="188"/>
      <c r="C29" s="189"/>
      <c r="D29" s="94"/>
      <c r="E29" s="189"/>
      <c r="F29" s="94"/>
      <c r="G29" s="189"/>
      <c r="H29" s="94">
        <f>SUM(H21:H28)</f>
        <v>83660</v>
      </c>
      <c r="I29" s="189"/>
      <c r="J29" s="94">
        <f>SUM(J21:J27)</f>
        <v>0</v>
      </c>
      <c r="K29" s="189"/>
      <c r="L29" s="94">
        <f>SUM(L21:L27)</f>
        <v>0</v>
      </c>
      <c r="M29" s="189"/>
      <c r="N29" s="94">
        <f>SUM(N21:N27)</f>
        <v>0</v>
      </c>
      <c r="O29" s="189"/>
      <c r="P29" s="94">
        <f>SUM(P21:P27)</f>
        <v>0</v>
      </c>
      <c r="Q29" s="189"/>
      <c r="R29" s="94">
        <f>SUM(R21:R27)</f>
        <v>0</v>
      </c>
      <c r="S29" s="189"/>
      <c r="T29" s="94">
        <f>SUM(T21:T27)</f>
        <v>1660</v>
      </c>
      <c r="U29" s="189"/>
      <c r="V29" s="94">
        <f>SUM(V21:V27)</f>
        <v>0</v>
      </c>
      <c r="W29" s="189"/>
      <c r="X29" s="94">
        <f>SUM(X21:X27)</f>
        <v>0</v>
      </c>
      <c r="Y29" s="189"/>
      <c r="Z29" s="94">
        <f>SUM(Z21:Z27)</f>
        <v>0</v>
      </c>
      <c r="AA29" s="56">
        <f>SUM(D29:Z29)</f>
        <v>85320</v>
      </c>
      <c r="AB29" s="190"/>
      <c r="AC29" s="188"/>
      <c r="AD29" s="189"/>
      <c r="AE29" s="94">
        <f>SUM(AE21:AE27)</f>
        <v>0</v>
      </c>
      <c r="AF29" s="189"/>
      <c r="AG29" s="94">
        <f>SUM(AG21:AG27)</f>
        <v>0</v>
      </c>
      <c r="AH29" s="189"/>
      <c r="AI29" s="94">
        <f>SUM(AI21:AI27)</f>
        <v>600</v>
      </c>
      <c r="AJ29" s="189"/>
      <c r="AK29" s="94">
        <f>SUM(AK21:AK27)</f>
        <v>0</v>
      </c>
      <c r="AL29" s="189"/>
      <c r="AM29" s="94">
        <f>SUM(AM21:AM27)</f>
        <v>0</v>
      </c>
      <c r="AN29" s="189"/>
      <c r="AO29" s="94">
        <f>SUM(AO21:AO27)</f>
        <v>0</v>
      </c>
      <c r="AP29" s="189"/>
      <c r="AQ29" s="94">
        <f>SUM(AQ21:AQ27)</f>
        <v>0</v>
      </c>
      <c r="AR29" s="189"/>
      <c r="AS29" s="94">
        <f>SUM(AS21:AS27)</f>
        <v>500</v>
      </c>
      <c r="AT29" s="189"/>
      <c r="AU29" s="94">
        <f>SUM(AU21:AU27)</f>
        <v>3860</v>
      </c>
      <c r="AV29" s="189"/>
      <c r="AW29" s="94">
        <f>SUM(AW21:AW27)</f>
        <v>46971.966736916052</v>
      </c>
      <c r="AX29" s="189"/>
      <c r="AY29" s="94">
        <f>SUM(AY21:AY27)</f>
        <v>0</v>
      </c>
      <c r="AZ29" s="189"/>
      <c r="BA29" s="94">
        <f>SUM(BA21:BA27)</f>
        <v>0</v>
      </c>
      <c r="BB29" s="55">
        <f>BA29+AY29+AW29+AU29+AS29+AQ29+AO29+AM29+AK29+AI29+AG29+AE29</f>
        <v>51931.966736916052</v>
      </c>
      <c r="BC29" s="30"/>
    </row>
    <row r="30" spans="1:55" ht="4.3499999999999996" customHeight="1" thickBot="1" x14ac:dyDescent="0.3">
      <c r="A30" s="68"/>
      <c r="B30" s="81"/>
      <c r="C30" s="4"/>
      <c r="D30" s="191"/>
      <c r="E30" s="4"/>
      <c r="F30" s="191"/>
      <c r="G30" s="4"/>
      <c r="H30" s="191"/>
      <c r="I30" s="4"/>
      <c r="J30" s="191"/>
      <c r="K30" s="4"/>
      <c r="L30" s="191"/>
      <c r="M30" s="4"/>
      <c r="N30" s="191"/>
      <c r="O30" s="4"/>
      <c r="P30" s="191"/>
      <c r="Q30" s="4"/>
      <c r="R30" s="191"/>
      <c r="S30" s="4"/>
      <c r="T30" s="191"/>
      <c r="U30" s="4"/>
      <c r="V30" s="191"/>
      <c r="W30" s="4"/>
      <c r="X30" s="191"/>
      <c r="Y30" s="4"/>
      <c r="Z30" s="191"/>
      <c r="AA30" s="192"/>
      <c r="AB30" s="75"/>
      <c r="AC30" s="81"/>
      <c r="AD30" s="4"/>
      <c r="AE30" s="191"/>
      <c r="AF30" s="4"/>
      <c r="AG30" s="191"/>
      <c r="AH30" s="4"/>
      <c r="AI30" s="191"/>
      <c r="AJ30" s="4"/>
      <c r="AK30" s="191"/>
      <c r="AL30" s="4"/>
      <c r="AM30" s="191"/>
      <c r="AN30" s="4"/>
      <c r="AO30" s="191"/>
      <c r="AP30" s="4"/>
      <c r="AQ30" s="191"/>
      <c r="AR30" s="4"/>
      <c r="AS30" s="191"/>
      <c r="AT30" s="4"/>
      <c r="AU30" s="191"/>
      <c r="AV30" s="4"/>
      <c r="AW30" s="191"/>
      <c r="AX30" s="4"/>
      <c r="AY30" s="191"/>
      <c r="AZ30" s="4"/>
      <c r="BA30" s="191"/>
      <c r="BB30" s="283"/>
      <c r="BC30" s="284"/>
    </row>
    <row r="31" spans="1:55" ht="15.75" thickBot="1" x14ac:dyDescent="0.3">
      <c r="A31" s="65" t="s">
        <v>141</v>
      </c>
      <c r="B31" s="188"/>
      <c r="C31" s="189"/>
      <c r="D31" s="94">
        <f>D29+D19+D11</f>
        <v>0</v>
      </c>
      <c r="E31" s="189"/>
      <c r="F31" s="94">
        <f>F29+F19+F11</f>
        <v>0</v>
      </c>
      <c r="G31" s="189"/>
      <c r="H31" s="94">
        <f>H29+H19+H11</f>
        <v>119778.45626975765</v>
      </c>
      <c r="I31" s="189"/>
      <c r="J31" s="94">
        <f>J29+J19+J11</f>
        <v>36118.45626975764</v>
      </c>
      <c r="K31" s="189"/>
      <c r="L31" s="94">
        <f>L29+L19+L11</f>
        <v>36118.45626975764</v>
      </c>
      <c r="M31" s="189"/>
      <c r="N31" s="94">
        <f>N29+N19+N11</f>
        <v>36118.45626975764</v>
      </c>
      <c r="O31" s="189"/>
      <c r="P31" s="94">
        <f>P29+P19+P11</f>
        <v>36118.45626975764</v>
      </c>
      <c r="Q31" s="189"/>
      <c r="R31" s="94">
        <f>R29+R19+R11</f>
        <v>36118.45626975764</v>
      </c>
      <c r="S31" s="189"/>
      <c r="T31" s="94">
        <f>T29+T19+T11</f>
        <v>37778.45626975764</v>
      </c>
      <c r="U31" s="189"/>
      <c r="V31" s="94">
        <f>V29+V19+V11</f>
        <v>36118.45626975764</v>
      </c>
      <c r="W31" s="189"/>
      <c r="X31" s="94">
        <f>X29+X19+X11</f>
        <v>36118.45626975764</v>
      </c>
      <c r="Y31" s="189"/>
      <c r="Z31" s="94">
        <f>Z29+Z19+Z11</f>
        <v>36118.45626975764</v>
      </c>
      <c r="AA31" s="94">
        <f>SUM(D31:Z31)</f>
        <v>446504.56269757648</v>
      </c>
      <c r="AB31" s="190"/>
      <c r="AC31" s="188"/>
      <c r="AD31" s="189"/>
      <c r="AE31" s="94">
        <f>AE29+AE19+AE11</f>
        <v>36118.45626975764</v>
      </c>
      <c r="AF31" s="189"/>
      <c r="AG31" s="94">
        <f>AG29+AG19+AG11</f>
        <v>36118.45626975764</v>
      </c>
      <c r="AH31" s="189"/>
      <c r="AI31" s="94">
        <f>AI29+AI19+AI11</f>
        <v>36718.45626975764</v>
      </c>
      <c r="AJ31" s="189"/>
      <c r="AK31" s="94">
        <f>AK29+AK19+AK11</f>
        <v>26079.867931155601</v>
      </c>
      <c r="AL31" s="189"/>
      <c r="AM31" s="94">
        <f>AM29+AM19+AM11</f>
        <v>26079.867931155601</v>
      </c>
      <c r="AN31" s="189"/>
      <c r="AO31" s="94">
        <f>AO29+AO19+AO11</f>
        <v>16041.279592553563</v>
      </c>
      <c r="AP31" s="189"/>
      <c r="AQ31" s="94">
        <f>AQ29+AQ19+AQ11</f>
        <v>8020.6397962767815</v>
      </c>
      <c r="AR31" s="189"/>
      <c r="AS31" s="94">
        <f>AS29+AS19+AS11</f>
        <v>500</v>
      </c>
      <c r="AT31" s="189"/>
      <c r="AU31" s="94">
        <f>AU29+AU19+AU11</f>
        <v>3860</v>
      </c>
      <c r="AV31" s="189"/>
      <c r="AW31" s="94">
        <f>AW29+AW19+AW11</f>
        <v>46971.966736916052</v>
      </c>
      <c r="AX31" s="189"/>
      <c r="AY31" s="94">
        <f>AY29+AY19+AY11</f>
        <v>0</v>
      </c>
      <c r="AZ31" s="189"/>
      <c r="BA31" s="94">
        <f>BA29+BA19+BA11</f>
        <v>0</v>
      </c>
      <c r="BB31" s="94">
        <f>SUM(AE31:BA31)</f>
        <v>236508.99079733051</v>
      </c>
      <c r="BC31" s="24"/>
    </row>
    <row r="32" spans="1:55" ht="15.75" thickBot="1" x14ac:dyDescent="0.3">
      <c r="BB32" s="181"/>
    </row>
    <row r="33" spans="1:54" ht="15.75" thickBot="1" x14ac:dyDescent="0.3">
      <c r="A33" s="65" t="s">
        <v>158</v>
      </c>
      <c r="B33" s="188"/>
      <c r="C33" s="189"/>
      <c r="D33" s="94">
        <f>D31</f>
        <v>0</v>
      </c>
      <c r="E33" s="189"/>
      <c r="F33" s="94">
        <f>F31</f>
        <v>0</v>
      </c>
      <c r="G33" s="189"/>
      <c r="H33" s="94">
        <f>H31</f>
        <v>119778.45626975765</v>
      </c>
      <c r="I33" s="189"/>
      <c r="J33" s="94">
        <f>J31</f>
        <v>36118.45626975764</v>
      </c>
      <c r="K33" s="189"/>
      <c r="L33" s="94">
        <f>L31</f>
        <v>36118.45626975764</v>
      </c>
      <c r="M33" s="189"/>
      <c r="N33" s="94">
        <f>N31</f>
        <v>36118.45626975764</v>
      </c>
      <c r="O33" s="189"/>
      <c r="P33" s="94">
        <f>P31</f>
        <v>36118.45626975764</v>
      </c>
      <c r="Q33" s="189"/>
      <c r="R33" s="94">
        <f>R31</f>
        <v>36118.45626975764</v>
      </c>
      <c r="S33" s="189"/>
      <c r="T33" s="94">
        <f>T31</f>
        <v>37778.45626975764</v>
      </c>
      <c r="U33" s="189"/>
      <c r="V33" s="94">
        <f>V31</f>
        <v>36118.45626975764</v>
      </c>
      <c r="W33" s="189"/>
      <c r="X33" s="94">
        <f>X31</f>
        <v>36118.45626975764</v>
      </c>
      <c r="Y33" s="189"/>
      <c r="Z33" s="94">
        <f>Z31</f>
        <v>36118.45626975764</v>
      </c>
      <c r="AA33" s="94">
        <f>AA31</f>
        <v>446504.56269757648</v>
      </c>
      <c r="AB33" s="190"/>
      <c r="AC33" s="188"/>
      <c r="AD33" s="189"/>
      <c r="AE33" s="94">
        <f>AE31</f>
        <v>36118.45626975764</v>
      </c>
      <c r="AF33" s="189"/>
      <c r="AG33" s="94">
        <f>AG31</f>
        <v>36118.45626975764</v>
      </c>
      <c r="AH33" s="189"/>
      <c r="AI33" s="94">
        <f>AI31</f>
        <v>36718.45626975764</v>
      </c>
      <c r="AJ33" s="189"/>
      <c r="AK33" s="94">
        <f>AK31</f>
        <v>26079.867931155601</v>
      </c>
      <c r="AL33" s="189"/>
      <c r="AM33" s="94">
        <f>AM31</f>
        <v>26079.867931155601</v>
      </c>
      <c r="AN33" s="189"/>
      <c r="AO33" s="94">
        <f>AO31</f>
        <v>16041.279592553563</v>
      </c>
      <c r="AP33" s="189"/>
      <c r="AQ33" s="94">
        <f>AQ31</f>
        <v>8020.6397962767815</v>
      </c>
      <c r="AR33" s="189"/>
      <c r="AS33" s="94">
        <f>AS31</f>
        <v>500</v>
      </c>
      <c r="AT33" s="189"/>
      <c r="AU33" s="94">
        <f>AU31</f>
        <v>3860</v>
      </c>
      <c r="AV33" s="189"/>
      <c r="AW33" s="94">
        <f>AW31</f>
        <v>46971.966736916052</v>
      </c>
      <c r="AX33" s="189"/>
      <c r="AY33" s="94">
        <f>AY31</f>
        <v>0</v>
      </c>
      <c r="AZ33" s="189"/>
      <c r="BA33" s="94">
        <f>BA31</f>
        <v>0</v>
      </c>
      <c r="BB33" s="94">
        <f>BB31</f>
        <v>236508.99079733051</v>
      </c>
    </row>
    <row r="34" spans="1:54" ht="15.75" thickBot="1" x14ac:dyDescent="0.3">
      <c r="A34" s="193" t="s">
        <v>96</v>
      </c>
      <c r="B34" s="185">
        <v>0.4</v>
      </c>
      <c r="C34" s="100"/>
      <c r="D34" s="184">
        <f>1-(SUM(D4:D10)*0.7*$B$34)-1</f>
        <v>0</v>
      </c>
      <c r="E34" s="100"/>
      <c r="F34" s="184">
        <f>1-(SUM(F4:F10)*0.7*$B$34)-1</f>
        <v>0</v>
      </c>
      <c r="G34" s="100"/>
      <c r="H34" s="184">
        <f>1-(SUM(H4:H10)*0.7*$B$34)-1</f>
        <v>-9138.7677555321388</v>
      </c>
      <c r="I34" s="100"/>
      <c r="J34" s="184">
        <f>1-(SUM(J4:J10)*0.7*$B$34)-1</f>
        <v>-9138.7677555321388</v>
      </c>
      <c r="K34" s="100"/>
      <c r="L34" s="184">
        <f>1-(SUM(L4:L10)*0.7*$B$34)-1</f>
        <v>-9138.7677555321388</v>
      </c>
      <c r="M34" s="100"/>
      <c r="N34" s="184">
        <f>1-(SUM(N4:N10)*0.7*$B$34)-1</f>
        <v>-9138.7677555321388</v>
      </c>
      <c r="O34" s="100"/>
      <c r="P34" s="184">
        <f>1-(SUM(P4:P10)*0.7*$B$34)-1</f>
        <v>-9138.7677555321388</v>
      </c>
      <c r="Q34" s="100"/>
      <c r="R34" s="184">
        <f>1-(SUM(R4:R10)*0.7*$B$34)-1</f>
        <v>-9138.7677555321388</v>
      </c>
      <c r="S34" s="100"/>
      <c r="T34" s="184">
        <f>1-(SUM(T4:T10)*0.7*$B$34)-1</f>
        <v>-9138.7677555321388</v>
      </c>
      <c r="U34" s="100"/>
      <c r="V34" s="184">
        <f>1-(SUM(V4:V10)*0.7*$B$34)-1</f>
        <v>-9138.7677555321388</v>
      </c>
      <c r="W34" s="100"/>
      <c r="X34" s="184">
        <f>1-(SUM(X4:X10)*0.7*$B$34)-1</f>
        <v>-9138.7677555321388</v>
      </c>
      <c r="Y34" s="100"/>
      <c r="Z34" s="184">
        <f>1-(SUM(Z4:Z10)*0.7*$B$34)-1</f>
        <v>-9138.7677555321388</v>
      </c>
      <c r="AA34" s="194">
        <f>SUM(D34:Z34)</f>
        <v>-91387.67755532141</v>
      </c>
      <c r="AB34" s="101"/>
      <c r="AC34" s="185">
        <v>0.4</v>
      </c>
      <c r="AD34" s="100"/>
      <c r="AE34" s="184">
        <f>1-(SUM(AE4:AE10)*0.7*$B$34)-1</f>
        <v>-9138.7677555321388</v>
      </c>
      <c r="AF34" s="100"/>
      <c r="AG34" s="184">
        <f>1-(SUM(AG4:AG10)*0.7*$B$34)-1</f>
        <v>-9138.7677555321388</v>
      </c>
      <c r="AH34" s="100"/>
      <c r="AI34" s="184">
        <f>1-(SUM(AI4:AI10)*0.7*$B$34)-1</f>
        <v>-9138.7677555321388</v>
      </c>
      <c r="AJ34" s="100"/>
      <c r="AK34" s="184">
        <f>1-(SUM(AK4:AK10)*0.7*$B$34)-1</f>
        <v>-6652.7630207235679</v>
      </c>
      <c r="AL34" s="100"/>
      <c r="AM34" s="184">
        <f>1-(SUM(AM4:AM10)*0.7*$B$34)-1</f>
        <v>-6652.7630207235679</v>
      </c>
      <c r="AN34" s="100"/>
      <c r="AO34" s="184">
        <f>1-(SUM(AO4:AO10)*0.7*$B$34)-1</f>
        <v>-4166.7582859149979</v>
      </c>
      <c r="AP34" s="100"/>
      <c r="AQ34" s="184">
        <f>1-(SUM(AQ4:AQ10)*0.7*$B$34)-1</f>
        <v>-2083.379142957499</v>
      </c>
      <c r="AR34" s="100"/>
      <c r="AS34" s="184">
        <f>1-(SUM(AS4:AS10)*0.7*$B$34)-1</f>
        <v>0</v>
      </c>
      <c r="AT34" s="100"/>
      <c r="AU34" s="184">
        <f>1-(SUM(AU4:AU10)*0.7*$B$34)-1</f>
        <v>0</v>
      </c>
      <c r="AV34" s="100"/>
      <c r="AW34" s="184">
        <f>1-(SUM(AW4:AW10)*0.7*$B$34)-1</f>
        <v>0</v>
      </c>
      <c r="AX34" s="100"/>
      <c r="AY34" s="184">
        <f>1-(SUM(AY4:AY10)*0.7*$B$34)-1</f>
        <v>0</v>
      </c>
      <c r="AZ34" s="100"/>
      <c r="BA34" s="184">
        <f>1-(SUM(BA4:BA10)*0.7*$B$34)-1</f>
        <v>0</v>
      </c>
      <c r="BB34" s="194">
        <f>SUM(AE34:BA34)</f>
        <v>-46971.966736916052</v>
      </c>
    </row>
    <row r="35" spans="1:54" ht="15.75" thickBot="1" x14ac:dyDescent="0.3">
      <c r="A35" s="65" t="s">
        <v>159</v>
      </c>
      <c r="B35" s="188"/>
      <c r="C35" s="189"/>
      <c r="D35" s="94">
        <f>D33+D34</f>
        <v>0</v>
      </c>
      <c r="E35" s="189"/>
      <c r="F35" s="94">
        <f>F33+F34</f>
        <v>0</v>
      </c>
      <c r="G35" s="189"/>
      <c r="H35" s="94">
        <f>H33+H34</f>
        <v>110639.68851422551</v>
      </c>
      <c r="I35" s="189"/>
      <c r="J35" s="94">
        <f>J33+J34</f>
        <v>26979.688514225501</v>
      </c>
      <c r="K35" s="189"/>
      <c r="L35" s="94">
        <f>L33+L34</f>
        <v>26979.688514225501</v>
      </c>
      <c r="M35" s="189"/>
      <c r="N35" s="94">
        <f>N33+N34</f>
        <v>26979.688514225501</v>
      </c>
      <c r="O35" s="189"/>
      <c r="P35" s="94">
        <f>P33+P34</f>
        <v>26979.688514225501</v>
      </c>
      <c r="Q35" s="189"/>
      <c r="R35" s="94">
        <f>R33+R34</f>
        <v>26979.688514225501</v>
      </c>
      <c r="S35" s="189"/>
      <c r="T35" s="94">
        <f>T33+T34</f>
        <v>28639.688514225501</v>
      </c>
      <c r="U35" s="189"/>
      <c r="V35" s="94">
        <f>V33+V34</f>
        <v>26979.688514225501</v>
      </c>
      <c r="W35" s="189"/>
      <c r="X35" s="94">
        <f>X33+X34</f>
        <v>26979.688514225501</v>
      </c>
      <c r="Y35" s="189"/>
      <c r="Z35" s="94">
        <f>Z33+Z34</f>
        <v>26979.688514225501</v>
      </c>
      <c r="AA35" s="94">
        <f>AA33+AA34</f>
        <v>355116.88514225505</v>
      </c>
      <c r="AB35" s="190"/>
      <c r="AC35" s="188"/>
      <c r="AD35" s="189"/>
      <c r="AE35" s="94">
        <f>AE33+AE34</f>
        <v>26979.688514225501</v>
      </c>
      <c r="AF35" s="189"/>
      <c r="AG35" s="94">
        <f>AG33+AG34</f>
        <v>26979.688514225501</v>
      </c>
      <c r="AH35" s="189"/>
      <c r="AI35" s="94">
        <f>AI33+AI34</f>
        <v>27579.688514225501</v>
      </c>
      <c r="AJ35" s="189"/>
      <c r="AK35" s="94">
        <f>AK33+AK34</f>
        <v>19427.104910432034</v>
      </c>
      <c r="AL35" s="189"/>
      <c r="AM35" s="94">
        <f>AM33+AM34</f>
        <v>19427.104910432034</v>
      </c>
      <c r="AN35" s="189"/>
      <c r="AO35" s="94">
        <f>AO33+AO34</f>
        <v>11874.521306638566</v>
      </c>
      <c r="AP35" s="189"/>
      <c r="AQ35" s="94">
        <f>AQ33+AQ34</f>
        <v>5937.2606533192829</v>
      </c>
      <c r="AR35" s="189"/>
      <c r="AS35" s="94">
        <f>AS33+AS34</f>
        <v>500</v>
      </c>
      <c r="AT35" s="189"/>
      <c r="AU35" s="94">
        <f>AU33+AU34</f>
        <v>3860</v>
      </c>
      <c r="AV35" s="189"/>
      <c r="AW35" s="94">
        <f>AW33+AW34</f>
        <v>46971.966736916052</v>
      </c>
      <c r="AX35" s="189"/>
      <c r="AY35" s="94">
        <f>AY33+AY34</f>
        <v>0</v>
      </c>
      <c r="AZ35" s="189"/>
      <c r="BA35" s="94">
        <f>BA33+BA34</f>
        <v>0</v>
      </c>
      <c r="BB35" s="94">
        <f>BB33+BB34</f>
        <v>189537.02406041446</v>
      </c>
    </row>
  </sheetData>
  <pageMargins left="0.7" right="0.7" top="0.75" bottom="0.75" header="0.3" footer="0.3"/>
  <pageSetup orientation="portrait" horizontalDpi="360" verticalDpi="36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7E848-5ACD-47EF-9A3C-562FF167041B}">
  <dimension ref="B1:F18"/>
  <sheetViews>
    <sheetView workbookViewId="0">
      <selection activeCell="Q27" sqref="Q27"/>
    </sheetView>
  </sheetViews>
  <sheetFormatPr defaultRowHeight="15" x14ac:dyDescent="0.25"/>
  <cols>
    <col min="1" max="1" width="1.140625" customWidth="1"/>
    <col min="2" max="2" width="15" bestFit="1" customWidth="1"/>
    <col min="3" max="3" width="5" bestFit="1" customWidth="1"/>
    <col min="4" max="6" width="15.42578125" bestFit="1" customWidth="1"/>
    <col min="7" max="7" width="1.140625" customWidth="1"/>
  </cols>
  <sheetData>
    <row r="1" spans="2:6" ht="6" customHeight="1" x14ac:dyDescent="0.25"/>
    <row r="2" spans="2:6" ht="18.75" x14ac:dyDescent="0.3">
      <c r="B2" s="116" t="s">
        <v>109</v>
      </c>
      <c r="C2" s="344"/>
      <c r="D2" s="344"/>
      <c r="E2" s="344"/>
      <c r="F2" s="344"/>
    </row>
    <row r="3" spans="2:6" ht="18.75" x14ac:dyDescent="0.3">
      <c r="B3" s="130" t="s">
        <v>110</v>
      </c>
      <c r="C3" s="344"/>
      <c r="D3" s="344"/>
      <c r="E3" s="344"/>
      <c r="F3" s="344"/>
    </row>
    <row r="4" spans="2:6" ht="18.75" x14ac:dyDescent="0.3">
      <c r="B4" s="116"/>
      <c r="C4" s="116"/>
      <c r="D4" s="116"/>
      <c r="E4" s="342" t="s">
        <v>121</v>
      </c>
      <c r="F4" s="342"/>
    </row>
    <row r="5" spans="2:6" ht="15.75" x14ac:dyDescent="0.25">
      <c r="B5" s="130" t="s">
        <v>111</v>
      </c>
      <c r="C5" s="345"/>
      <c r="D5" s="346"/>
      <c r="E5" s="134" t="s">
        <v>113</v>
      </c>
      <c r="F5" s="132"/>
    </row>
    <row r="6" spans="2:6" ht="15.75" x14ac:dyDescent="0.25">
      <c r="B6" s="130" t="s">
        <v>112</v>
      </c>
      <c r="C6" s="345"/>
      <c r="D6" s="346"/>
      <c r="E6" s="134" t="s">
        <v>114</v>
      </c>
      <c r="F6" s="132"/>
    </row>
    <row r="7" spans="2:6" ht="16.5" thickBot="1" x14ac:dyDescent="0.3">
      <c r="C7" s="135"/>
      <c r="D7" s="135"/>
      <c r="E7" s="136" t="s">
        <v>115</v>
      </c>
      <c r="F7" s="137"/>
    </row>
    <row r="8" spans="2:6" ht="19.5" thickBot="1" x14ac:dyDescent="0.35">
      <c r="B8" s="130" t="s">
        <v>119</v>
      </c>
      <c r="C8" s="345"/>
      <c r="D8" s="345"/>
      <c r="E8" s="138" t="s">
        <v>116</v>
      </c>
      <c r="F8" s="139"/>
    </row>
    <row r="10" spans="2:6" ht="15.75" thickBot="1" x14ac:dyDescent="0.3"/>
    <row r="11" spans="2:6" ht="15" customHeight="1" x14ac:dyDescent="0.25">
      <c r="B11" s="131" t="s">
        <v>117</v>
      </c>
      <c r="C11" s="131" t="s">
        <v>101</v>
      </c>
      <c r="D11" s="143" t="s">
        <v>122</v>
      </c>
      <c r="E11" s="343" t="s">
        <v>118</v>
      </c>
      <c r="F11" s="141" t="s">
        <v>104</v>
      </c>
    </row>
    <row r="12" spans="2:6" x14ac:dyDescent="0.25">
      <c r="B12" s="132" t="s">
        <v>113</v>
      </c>
      <c r="C12" s="132" cm="1">
        <f t="array" ref="C12">SUM(_xlfn._xlws.FILTER('Commercial rates'!$E$4:$E$42,'Commercial rates'!$A$4:$A$42=B12,0))</f>
        <v>0</v>
      </c>
      <c r="D12" s="47"/>
      <c r="E12" s="343"/>
      <c r="F12" s="54"/>
    </row>
    <row r="13" spans="2:6" x14ac:dyDescent="0.25">
      <c r="B13" s="132" t="s">
        <v>120</v>
      </c>
      <c r="C13" s="132" cm="1">
        <f t="array" ref="C13">SUM(_xlfn._xlws.FILTER('Commercial rates'!$E$4:$E$38,'Commercial rates'!$A$4:$A$38=B13,0))</f>
        <v>0</v>
      </c>
      <c r="D13" s="47"/>
      <c r="E13" s="339"/>
      <c r="F13" s="54"/>
    </row>
    <row r="14" spans="2:6" x14ac:dyDescent="0.25">
      <c r="B14" s="132" t="s">
        <v>63</v>
      </c>
      <c r="C14" s="132" cm="1">
        <f t="array" ref="C14">SUM(_xlfn._xlws.FILTER('Commercial rates'!$E$4:$E$38,'Commercial rates'!$A$4:$A$38=B14,0))</f>
        <v>0</v>
      </c>
      <c r="D14" s="47"/>
      <c r="E14" s="340"/>
      <c r="F14" s="54"/>
    </row>
    <row r="15" spans="2:6" x14ac:dyDescent="0.25">
      <c r="B15" s="132" t="s">
        <v>123</v>
      </c>
      <c r="C15" s="132" cm="1">
        <f t="array" ref="C15">SUM(_xlfn._xlws.FILTER('Commercial rates'!$E$4:$E$38,'Commercial rates'!$A$4:$A$38=B15,0))</f>
        <v>0</v>
      </c>
      <c r="D15" s="47"/>
      <c r="E15" s="340"/>
      <c r="F15" s="54"/>
    </row>
    <row r="16" spans="2:6" ht="15.75" thickBot="1" x14ac:dyDescent="0.3">
      <c r="B16" s="132" t="s">
        <v>124</v>
      </c>
      <c r="C16" s="132">
        <f>'Commercial rates'!E39</f>
        <v>0</v>
      </c>
      <c r="D16" s="47"/>
      <c r="E16" s="341"/>
      <c r="F16" s="54"/>
    </row>
    <row r="17" spans="4:6" ht="19.5" thickBot="1" x14ac:dyDescent="0.35">
      <c r="D17" s="133" t="e">
        <f>'Commercial rates'!J3</f>
        <v>#REF!</v>
      </c>
      <c r="E17" s="142" t="e">
        <f>D17*E13</f>
        <v>#REF!</v>
      </c>
      <c r="F17" s="140" t="e">
        <f>D17-E17</f>
        <v>#REF!</v>
      </c>
    </row>
    <row r="18" spans="4:6" ht="6" customHeight="1" x14ac:dyDescent="0.25"/>
  </sheetData>
  <mergeCells count="8">
    <mergeCell ref="E13:E16"/>
    <mergeCell ref="E4:F4"/>
    <mergeCell ref="E11:E12"/>
    <mergeCell ref="C2:F2"/>
    <mergeCell ref="C3:F3"/>
    <mergeCell ref="C5:D5"/>
    <mergeCell ref="C6:D6"/>
    <mergeCell ref="C8:D8"/>
  </mergeCells>
  <pageMargins left="0.7" right="0.7" top="0.75" bottom="0.75" header="0.3" footer="0.3"/>
  <pageSetup orientation="portrait" horizontalDpi="360" verticalDpi="36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06FB4-2387-49EB-BD22-6310CB505B8E}">
  <dimension ref="A1:P20"/>
  <sheetViews>
    <sheetView workbookViewId="0">
      <selection activeCell="A17" sqref="A17:A20"/>
    </sheetView>
  </sheetViews>
  <sheetFormatPr defaultColWidth="8.85546875" defaultRowHeight="15" x14ac:dyDescent="0.25"/>
  <cols>
    <col min="1" max="1" width="8.85546875" style="106" bestFit="1" customWidth="1"/>
    <col min="2" max="2" width="20" style="111" bestFit="1" customWidth="1"/>
    <col min="3" max="3" width="12.42578125" style="112" customWidth="1"/>
    <col min="4" max="7" width="13.5703125" style="106" customWidth="1"/>
    <col min="8" max="8" width="13.5703125" style="113" customWidth="1"/>
    <col min="9" max="14" width="13.5703125" style="106" customWidth="1"/>
    <col min="15" max="15" width="17.42578125" style="110" bestFit="1" customWidth="1"/>
    <col min="16" max="28" width="11.140625" style="106" bestFit="1" customWidth="1"/>
    <col min="29" max="54" width="12.140625" style="106" bestFit="1" customWidth="1"/>
    <col min="55" max="16384" width="8.85546875" style="106"/>
  </cols>
  <sheetData>
    <row r="1" spans="1:16" s="103" customFormat="1" ht="15.75" thickBot="1" x14ac:dyDescent="0.3">
      <c r="A1" s="238"/>
      <c r="B1" s="216"/>
      <c r="C1" s="239">
        <v>44743</v>
      </c>
      <c r="D1" s="239">
        <v>44774</v>
      </c>
      <c r="E1" s="239">
        <v>44805</v>
      </c>
      <c r="F1" s="239">
        <v>44835</v>
      </c>
      <c r="G1" s="239">
        <v>44866</v>
      </c>
      <c r="H1" s="239">
        <v>44896</v>
      </c>
      <c r="I1" s="240">
        <v>44927</v>
      </c>
      <c r="J1" s="239">
        <v>44958</v>
      </c>
      <c r="K1" s="239">
        <v>44986</v>
      </c>
      <c r="L1" s="239">
        <v>45017</v>
      </c>
      <c r="M1" s="239">
        <v>45047</v>
      </c>
      <c r="N1" s="239">
        <v>45078</v>
      </c>
      <c r="O1" s="286" t="s">
        <v>95</v>
      </c>
    </row>
    <row r="2" spans="1:16" s="103" customFormat="1" ht="15.75" thickBot="1" x14ac:dyDescent="0.3">
      <c r="A2" s="257"/>
      <c r="B2" s="271" t="s">
        <v>181</v>
      </c>
      <c r="C2" s="238"/>
      <c r="D2" s="216"/>
      <c r="E2" s="270" t="s">
        <v>180</v>
      </c>
      <c r="F2" s="270" t="s">
        <v>180</v>
      </c>
      <c r="G2" s="270" t="s">
        <v>180</v>
      </c>
      <c r="H2" s="268" t="s">
        <v>179</v>
      </c>
      <c r="I2" s="268" t="s">
        <v>179</v>
      </c>
      <c r="J2" s="268" t="s">
        <v>179</v>
      </c>
      <c r="K2" s="269" t="s">
        <v>178</v>
      </c>
      <c r="L2" s="269" t="s">
        <v>178</v>
      </c>
      <c r="M2" s="269" t="s">
        <v>178</v>
      </c>
      <c r="N2" s="272" t="s">
        <v>177</v>
      </c>
      <c r="O2" s="288"/>
    </row>
    <row r="3" spans="1:16" x14ac:dyDescent="0.25">
      <c r="A3" s="327" t="s">
        <v>52</v>
      </c>
      <c r="B3" s="221" t="s">
        <v>97</v>
      </c>
      <c r="C3" s="238"/>
      <c r="D3" s="216"/>
      <c r="E3" s="216">
        <v>300000</v>
      </c>
      <c r="F3" s="224"/>
      <c r="G3" s="216"/>
      <c r="H3" s="216"/>
      <c r="I3" s="217"/>
      <c r="J3" s="216"/>
      <c r="K3" s="216">
        <v>250000</v>
      </c>
      <c r="L3" s="216"/>
      <c r="M3" s="216"/>
      <c r="N3" s="261"/>
      <c r="O3" s="262">
        <f>SUM(C3:N3)</f>
        <v>550000</v>
      </c>
    </row>
    <row r="4" spans="1:16" x14ac:dyDescent="0.25">
      <c r="A4" s="327"/>
      <c r="B4" s="244" t="s">
        <v>94</v>
      </c>
      <c r="C4" s="257"/>
      <c r="D4" s="242"/>
      <c r="E4" s="242">
        <f>Costs!J35</f>
        <v>0</v>
      </c>
      <c r="F4" s="242">
        <f>Costs!L35</f>
        <v>22310.2</v>
      </c>
      <c r="G4" s="242">
        <f>Costs!N35</f>
        <v>26112.799999999999</v>
      </c>
      <c r="H4" s="242">
        <f>Costs!P35</f>
        <v>29915.4</v>
      </c>
      <c r="I4" s="107">
        <f>Costs!R35</f>
        <v>29915.4</v>
      </c>
      <c r="J4" s="242">
        <f>Costs!T35</f>
        <v>29915.4</v>
      </c>
      <c r="K4" s="242">
        <f>Costs!V35</f>
        <v>29915.4</v>
      </c>
      <c r="L4" s="242">
        <f>Costs!AB35</f>
        <v>0</v>
      </c>
      <c r="M4" s="242">
        <f>Costs!D73</f>
        <v>0</v>
      </c>
      <c r="N4" s="258">
        <f>Costs!F73</f>
        <v>0</v>
      </c>
      <c r="O4" s="263">
        <f>SUM(C4:N4)</f>
        <v>168084.59999999998</v>
      </c>
      <c r="P4" s="237"/>
    </row>
    <row r="5" spans="1:16" ht="19.5" thickBot="1" x14ac:dyDescent="0.35">
      <c r="A5" s="328"/>
      <c r="B5" s="254" t="s">
        <v>86</v>
      </c>
      <c r="C5" s="259"/>
      <c r="D5" s="243"/>
      <c r="E5" s="243">
        <f>E3-E4</f>
        <v>300000</v>
      </c>
      <c r="F5" s="243">
        <f>F3-F4+E5</f>
        <v>277689.8</v>
      </c>
      <c r="G5" s="243">
        <f t="shared" ref="G5:N5" si="0">G3-G4+F5</f>
        <v>251577</v>
      </c>
      <c r="H5" s="243">
        <f t="shared" si="0"/>
        <v>221661.6</v>
      </c>
      <c r="I5" s="243">
        <f t="shared" si="0"/>
        <v>191746.2</v>
      </c>
      <c r="J5" s="243">
        <f t="shared" si="0"/>
        <v>161830.80000000002</v>
      </c>
      <c r="K5" s="243">
        <f t="shared" si="0"/>
        <v>381915.4</v>
      </c>
      <c r="L5" s="243">
        <f t="shared" si="0"/>
        <v>381915.4</v>
      </c>
      <c r="M5" s="243">
        <f t="shared" si="0"/>
        <v>381915.4</v>
      </c>
      <c r="N5" s="260">
        <f t="shared" si="0"/>
        <v>381915.4</v>
      </c>
      <c r="O5" s="264">
        <f>O3-O4</f>
        <v>381915.4</v>
      </c>
    </row>
    <row r="6" spans="1:16" ht="15.75" thickBot="1" x14ac:dyDescent="0.3">
      <c r="B6" s="106"/>
      <c r="C6" s="106"/>
      <c r="H6" s="106"/>
    </row>
    <row r="7" spans="1:16" ht="15.75" thickBot="1" x14ac:dyDescent="0.3">
      <c r="C7" s="255">
        <v>45108</v>
      </c>
      <c r="D7" s="239">
        <v>45139</v>
      </c>
      <c r="E7" s="239">
        <v>45170</v>
      </c>
      <c r="F7" s="239">
        <v>45200</v>
      </c>
      <c r="G7" s="239">
        <v>45231</v>
      </c>
      <c r="H7" s="239">
        <v>45261</v>
      </c>
      <c r="I7" s="240">
        <v>45292</v>
      </c>
      <c r="J7" s="239">
        <v>45323</v>
      </c>
      <c r="K7" s="239">
        <v>45352</v>
      </c>
      <c r="L7" s="239">
        <v>45383</v>
      </c>
      <c r="M7" s="239">
        <v>45413</v>
      </c>
      <c r="N7" s="256">
        <v>45444</v>
      </c>
      <c r="O7" s="241" t="s">
        <v>95</v>
      </c>
    </row>
    <row r="8" spans="1:16" s="103" customFormat="1" x14ac:dyDescent="0.25">
      <c r="A8" s="257"/>
      <c r="B8" s="271" t="s">
        <v>181</v>
      </c>
      <c r="C8" s="272" t="s">
        <v>177</v>
      </c>
      <c r="D8" s="267" t="s">
        <v>176</v>
      </c>
      <c r="E8" s="266" t="s">
        <v>175</v>
      </c>
      <c r="F8" s="275" t="s">
        <v>174</v>
      </c>
      <c r="G8" s="276" t="s">
        <v>173</v>
      </c>
      <c r="H8" s="265" t="s">
        <v>172</v>
      </c>
      <c r="I8" s="173" t="s">
        <v>171</v>
      </c>
      <c r="J8" s="173" t="s">
        <v>171</v>
      </c>
      <c r="L8" s="242"/>
      <c r="M8" s="242"/>
      <c r="N8" s="242"/>
      <c r="O8" s="286"/>
    </row>
    <row r="9" spans="1:16" ht="14.45" customHeight="1" thickBot="1" x14ac:dyDescent="0.3">
      <c r="A9" s="327" t="s">
        <v>9</v>
      </c>
      <c r="B9" s="244" t="s">
        <v>94</v>
      </c>
      <c r="C9" s="278">
        <f>Costs!H73</f>
        <v>0</v>
      </c>
      <c r="D9" s="279">
        <f>Costs!L$71</f>
        <v>0</v>
      </c>
      <c r="E9" s="279">
        <f>Costs!N$71</f>
        <v>0</v>
      </c>
      <c r="F9" s="279">
        <f>Costs!P$71</f>
        <v>0</v>
      </c>
      <c r="G9" s="279">
        <f>Costs!R$71</f>
        <v>0</v>
      </c>
      <c r="H9" s="279">
        <f>Costs!T71</f>
        <v>0</v>
      </c>
      <c r="I9" s="279">
        <f>Costs!V71</f>
        <v>0</v>
      </c>
      <c r="J9" s="279">
        <f>Costs!Z71</f>
        <v>0</v>
      </c>
      <c r="K9" s="279">
        <f>Costs!AA71</f>
        <v>0</v>
      </c>
      <c r="L9" s="279" t="e">
        <f>Costs!#REF!</f>
        <v>#REF!</v>
      </c>
      <c r="M9" s="279" t="e">
        <f>Costs!#REF!</f>
        <v>#REF!</v>
      </c>
      <c r="N9" s="279" t="e">
        <f>Costs!#REF!</f>
        <v>#REF!</v>
      </c>
      <c r="O9" s="287"/>
      <c r="P9" s="237"/>
    </row>
    <row r="10" spans="1:16" ht="18" customHeight="1" thickBot="1" x14ac:dyDescent="0.35">
      <c r="A10" s="328"/>
      <c r="B10" s="254" t="s">
        <v>86</v>
      </c>
      <c r="C10" s="273">
        <f>N5-C9</f>
        <v>381915.4</v>
      </c>
      <c r="D10" s="274">
        <f t="shared" ref="D10:N10" si="1">C10-D9</f>
        <v>381915.4</v>
      </c>
      <c r="E10" s="274">
        <f t="shared" si="1"/>
        <v>381915.4</v>
      </c>
      <c r="F10" s="274">
        <f t="shared" si="1"/>
        <v>381915.4</v>
      </c>
      <c r="G10" s="274">
        <f t="shared" si="1"/>
        <v>381915.4</v>
      </c>
      <c r="H10" s="274">
        <f t="shared" si="1"/>
        <v>381915.4</v>
      </c>
      <c r="I10" s="274">
        <f t="shared" si="1"/>
        <v>381915.4</v>
      </c>
      <c r="J10" s="274">
        <f t="shared" si="1"/>
        <v>381915.4</v>
      </c>
      <c r="K10" s="274">
        <f t="shared" si="1"/>
        <v>381915.4</v>
      </c>
      <c r="L10" s="274" t="e">
        <f t="shared" si="1"/>
        <v>#REF!</v>
      </c>
      <c r="M10" s="274" t="e">
        <f t="shared" si="1"/>
        <v>#REF!</v>
      </c>
      <c r="N10" s="274" t="e">
        <f t="shared" si="1"/>
        <v>#REF!</v>
      </c>
      <c r="O10" s="285" t="e">
        <f>N10</f>
        <v>#REF!</v>
      </c>
    </row>
    <row r="11" spans="1:16" ht="15.75" thickBot="1" x14ac:dyDescent="0.3">
      <c r="B11" s="106"/>
      <c r="C11" s="106"/>
      <c r="H11" s="106"/>
    </row>
    <row r="12" spans="1:16" ht="15.75" thickBot="1" x14ac:dyDescent="0.3">
      <c r="C12" s="255">
        <v>45474</v>
      </c>
      <c r="D12" s="239">
        <v>45505</v>
      </c>
      <c r="E12" s="239">
        <v>45536</v>
      </c>
      <c r="F12" s="239">
        <v>45566</v>
      </c>
      <c r="G12" s="239">
        <v>45597</v>
      </c>
      <c r="H12" s="239">
        <v>45627</v>
      </c>
      <c r="I12" s="239">
        <v>45658</v>
      </c>
      <c r="J12" s="239">
        <v>45689</v>
      </c>
      <c r="K12" s="239">
        <v>45717</v>
      </c>
      <c r="L12" s="239">
        <v>45748</v>
      </c>
      <c r="M12" s="239">
        <v>45778</v>
      </c>
      <c r="N12" s="239">
        <v>45809</v>
      </c>
      <c r="O12" s="241" t="s">
        <v>95</v>
      </c>
    </row>
    <row r="13" spans="1:16" s="103" customFormat="1" x14ac:dyDescent="0.25">
      <c r="A13" s="257"/>
      <c r="B13" s="271" t="s">
        <v>181</v>
      </c>
      <c r="C13" s="272" t="s">
        <v>177</v>
      </c>
      <c r="D13" s="267" t="s">
        <v>176</v>
      </c>
      <c r="E13" s="277" t="s">
        <v>170</v>
      </c>
      <c r="F13" s="275" t="s">
        <v>174</v>
      </c>
      <c r="G13" s="276" t="s">
        <v>173</v>
      </c>
      <c r="H13" s="265" t="s">
        <v>172</v>
      </c>
      <c r="I13" s="173" t="s">
        <v>171</v>
      </c>
      <c r="J13" s="173" t="s">
        <v>171</v>
      </c>
      <c r="K13" s="277" t="s">
        <v>170</v>
      </c>
      <c r="L13" s="242"/>
      <c r="M13" s="242"/>
      <c r="N13" s="242"/>
      <c r="O13" s="286"/>
    </row>
    <row r="14" spans="1:16" ht="14.45" customHeight="1" thickBot="1" x14ac:dyDescent="0.3">
      <c r="A14" s="327" t="s">
        <v>8</v>
      </c>
      <c r="B14" s="244" t="s">
        <v>94</v>
      </c>
      <c r="C14" s="278">
        <f>Costs!AM40</f>
        <v>0</v>
      </c>
      <c r="D14" s="279">
        <f>Costs!L$71</f>
        <v>0</v>
      </c>
      <c r="E14" s="279">
        <f>Costs!N$71</f>
        <v>0</v>
      </c>
      <c r="F14" s="279">
        <f>Costs!P$71</f>
        <v>0</v>
      </c>
      <c r="G14" s="279">
        <f>Costs!R$71</f>
        <v>0</v>
      </c>
      <c r="H14" s="279">
        <f>Costs!AU38</f>
        <v>0</v>
      </c>
      <c r="I14" s="279">
        <f>Costs!AW38</f>
        <v>0</v>
      </c>
      <c r="J14" s="279">
        <f>Costs!BA38</f>
        <v>0</v>
      </c>
      <c r="K14" s="279"/>
      <c r="L14" s="279"/>
      <c r="M14" s="279"/>
      <c r="N14" s="279"/>
      <c r="O14" s="287"/>
      <c r="P14" s="237"/>
    </row>
    <row r="15" spans="1:16" ht="18" customHeight="1" thickBot="1" x14ac:dyDescent="0.35">
      <c r="A15" s="328"/>
      <c r="B15" s="254" t="s">
        <v>86</v>
      </c>
      <c r="C15" s="273" t="e">
        <f>N10-C14</f>
        <v>#REF!</v>
      </c>
      <c r="D15" s="274" t="e">
        <f t="shared" ref="D15:N15" si="2">C15-D14</f>
        <v>#REF!</v>
      </c>
      <c r="E15" s="274" t="e">
        <f t="shared" si="2"/>
        <v>#REF!</v>
      </c>
      <c r="F15" s="274" t="e">
        <f t="shared" si="2"/>
        <v>#REF!</v>
      </c>
      <c r="G15" s="274" t="e">
        <f t="shared" si="2"/>
        <v>#REF!</v>
      </c>
      <c r="H15" s="274" t="e">
        <f t="shared" si="2"/>
        <v>#REF!</v>
      </c>
      <c r="I15" s="274" t="e">
        <f t="shared" si="2"/>
        <v>#REF!</v>
      </c>
      <c r="J15" s="274" t="e">
        <f t="shared" si="2"/>
        <v>#REF!</v>
      </c>
      <c r="K15" s="274" t="e">
        <f t="shared" si="2"/>
        <v>#REF!</v>
      </c>
      <c r="L15" s="274" t="e">
        <f t="shared" si="2"/>
        <v>#REF!</v>
      </c>
      <c r="M15" s="274" t="e">
        <f t="shared" si="2"/>
        <v>#REF!</v>
      </c>
      <c r="N15" s="274" t="e">
        <f t="shared" si="2"/>
        <v>#REF!</v>
      </c>
      <c r="O15" s="285" t="e">
        <f>N15</f>
        <v>#REF!</v>
      </c>
    </row>
    <row r="16" spans="1:16" ht="18" customHeight="1" x14ac:dyDescent="0.25">
      <c r="A16" s="236"/>
    </row>
    <row r="17" spans="1:1" x14ac:dyDescent="0.25">
      <c r="A17" s="236" t="s">
        <v>182</v>
      </c>
    </row>
    <row r="18" spans="1:1" x14ac:dyDescent="0.25">
      <c r="A18" s="236" t="s">
        <v>169</v>
      </c>
    </row>
    <row r="19" spans="1:1" x14ac:dyDescent="0.25">
      <c r="A19" s="236" t="s">
        <v>166</v>
      </c>
    </row>
    <row r="20" spans="1:1" x14ac:dyDescent="0.25">
      <c r="A20" s="236" t="s">
        <v>168</v>
      </c>
    </row>
  </sheetData>
  <mergeCells count="3">
    <mergeCell ref="A3:A5"/>
    <mergeCell ref="A9:A10"/>
    <mergeCell ref="A14:A15"/>
  </mergeCells>
  <phoneticPr fontId="23" type="noConversion"/>
  <pageMargins left="0.7" right="0.7" top="0.75" bottom="0.75" header="0.3" footer="0.3"/>
  <pageSetup orientation="portrait" horizontalDpi="360"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CB42-CEBA-4E7F-8AA5-129220918CFF}">
  <dimension ref="A1:O18"/>
  <sheetViews>
    <sheetView tabSelected="1" zoomScaleNormal="100" workbookViewId="0">
      <selection activeCell="H22" sqref="H22"/>
    </sheetView>
  </sheetViews>
  <sheetFormatPr defaultColWidth="8.85546875" defaultRowHeight="15" x14ac:dyDescent="0.25"/>
  <cols>
    <col min="1" max="1" width="15.85546875" style="106" bestFit="1" customWidth="1"/>
    <col min="2" max="2" width="18.85546875" style="111" bestFit="1" customWidth="1"/>
    <col min="3" max="3" width="11" style="112" bestFit="1" customWidth="1"/>
    <col min="4" max="7" width="13.5703125" style="106" bestFit="1" customWidth="1"/>
    <col min="8" max="8" width="13.5703125" style="113" bestFit="1" customWidth="1"/>
    <col min="9" max="14" width="13.5703125" style="106" bestFit="1" customWidth="1"/>
    <col min="15" max="15" width="17.42578125" style="110" bestFit="1" customWidth="1"/>
    <col min="16" max="28" width="11.140625" style="106" bestFit="1" customWidth="1"/>
    <col min="29" max="54" width="12.140625" style="106" bestFit="1" customWidth="1"/>
    <col min="55" max="16384" width="8.85546875" style="106"/>
  </cols>
  <sheetData>
    <row r="1" spans="1:15" s="103" customFormat="1" ht="15.75" thickBot="1" x14ac:dyDescent="0.3">
      <c r="A1" s="222" t="s">
        <v>226</v>
      </c>
      <c r="B1" s="223">
        <v>10000</v>
      </c>
      <c r="C1" s="104">
        <v>46113</v>
      </c>
      <c r="D1" s="104">
        <v>46143</v>
      </c>
      <c r="E1" s="104">
        <v>46174</v>
      </c>
      <c r="F1" s="105" t="s">
        <v>95</v>
      </c>
    </row>
    <row r="2" spans="1:15" ht="15" customHeight="1" x14ac:dyDescent="0.25">
      <c r="A2" s="380" t="s">
        <v>51</v>
      </c>
      <c r="B2" s="386" t="s">
        <v>186</v>
      </c>
      <c r="C2" s="216">
        <v>120000</v>
      </c>
      <c r="D2" s="216"/>
      <c r="E2" s="216">
        <v>40000</v>
      </c>
      <c r="F2" s="108">
        <f>SUM(C2:E2)+B1</f>
        <v>170000</v>
      </c>
      <c r="H2" s="106"/>
      <c r="O2" s="106"/>
    </row>
    <row r="3" spans="1:15" ht="15" customHeight="1" x14ac:dyDescent="0.25">
      <c r="A3" s="381"/>
      <c r="B3" s="387"/>
      <c r="C3" s="379" t="s">
        <v>185</v>
      </c>
      <c r="D3" s="242"/>
      <c r="E3" s="379" t="s">
        <v>223</v>
      </c>
      <c r="F3" s="108"/>
      <c r="H3" s="106"/>
      <c r="O3" s="106"/>
    </row>
    <row r="4" spans="1:15" ht="15" customHeight="1" x14ac:dyDescent="0.25">
      <c r="A4" s="381"/>
      <c r="B4" s="388" t="s">
        <v>94</v>
      </c>
      <c r="C4" s="106">
        <f>Costs!L33</f>
        <v>28462.5</v>
      </c>
      <c r="D4" s="106">
        <f>Costs!N33</f>
        <v>33705</v>
      </c>
      <c r="E4" s="106">
        <f>Costs!P33</f>
        <v>38947.5</v>
      </c>
      <c r="F4" s="108">
        <f>SUM(C4:E4)</f>
        <v>101115</v>
      </c>
      <c r="H4" s="106"/>
      <c r="O4" s="106"/>
    </row>
    <row r="5" spans="1:15" ht="18.75" customHeight="1" thickBot="1" x14ac:dyDescent="0.35">
      <c r="A5" s="382"/>
      <c r="B5" s="389" t="s">
        <v>86</v>
      </c>
      <c r="C5" s="385">
        <f>B1+(C2-C4)</f>
        <v>101537.5</v>
      </c>
      <c r="D5" s="102">
        <f>C5+D2-D4</f>
        <v>67832.5</v>
      </c>
      <c r="E5" s="102">
        <f>D5+E2-E4</f>
        <v>68885</v>
      </c>
      <c r="F5" s="109">
        <f>F2-F4</f>
        <v>68885</v>
      </c>
      <c r="H5" s="106"/>
      <c r="O5" s="106"/>
    </row>
    <row r="6" spans="1:15" ht="15.75" thickBot="1" x14ac:dyDescent="0.3">
      <c r="B6" s="106"/>
      <c r="C6" s="106"/>
      <c r="H6" s="106"/>
    </row>
    <row r="7" spans="1:15" ht="15.75" thickBot="1" x14ac:dyDescent="0.3">
      <c r="A7" s="222" t="s">
        <v>225</v>
      </c>
      <c r="B7" s="223">
        <f>F5</f>
        <v>68885</v>
      </c>
      <c r="C7" s="104">
        <v>46204</v>
      </c>
      <c r="D7" s="104">
        <v>46235</v>
      </c>
      <c r="E7" s="104">
        <v>46266</v>
      </c>
      <c r="F7" s="104">
        <v>46296</v>
      </c>
      <c r="G7" s="104">
        <v>46327</v>
      </c>
      <c r="H7" s="104">
        <v>46357</v>
      </c>
      <c r="I7" s="104">
        <v>46388</v>
      </c>
      <c r="J7" s="104">
        <v>46419</v>
      </c>
      <c r="K7" s="104">
        <v>46447</v>
      </c>
      <c r="L7" s="104">
        <v>46478</v>
      </c>
      <c r="M7" s="104">
        <v>46508</v>
      </c>
      <c r="N7" s="104">
        <v>46539</v>
      </c>
      <c r="O7" s="105" t="s">
        <v>95</v>
      </c>
    </row>
    <row r="8" spans="1:15" ht="14.45" customHeight="1" x14ac:dyDescent="0.25">
      <c r="A8" s="380" t="s">
        <v>201</v>
      </c>
      <c r="B8" s="386" t="s">
        <v>186</v>
      </c>
      <c r="C8" s="216"/>
      <c r="D8" s="216">
        <v>50000</v>
      </c>
      <c r="E8" s="216"/>
      <c r="F8" s="216">
        <v>30000</v>
      </c>
      <c r="G8" s="216">
        <v>10000</v>
      </c>
      <c r="H8" s="216"/>
      <c r="I8" s="216"/>
      <c r="J8" s="216"/>
      <c r="K8" s="216"/>
      <c r="L8" s="216"/>
      <c r="M8" s="216"/>
      <c r="N8" s="216"/>
      <c r="O8" s="108">
        <f>SUM(C8:N8)</f>
        <v>90000</v>
      </c>
    </row>
    <row r="9" spans="1:15" s="236" customFormat="1" ht="14.45" customHeight="1" x14ac:dyDescent="0.25">
      <c r="A9" s="381"/>
      <c r="B9" s="387"/>
      <c r="C9" s="379"/>
      <c r="D9" s="379" t="s">
        <v>185</v>
      </c>
      <c r="E9" s="379"/>
      <c r="F9" s="379" t="s">
        <v>185</v>
      </c>
      <c r="G9" s="379" t="s">
        <v>223</v>
      </c>
      <c r="H9" s="379"/>
      <c r="I9" s="379"/>
      <c r="J9" s="379"/>
      <c r="K9" s="379"/>
      <c r="L9" s="379"/>
      <c r="M9" s="379"/>
      <c r="N9" s="379"/>
      <c r="O9" s="383"/>
    </row>
    <row r="10" spans="1:15" ht="14.45" customHeight="1" x14ac:dyDescent="0.25">
      <c r="A10" s="381"/>
      <c r="B10" s="388" t="s">
        <v>94</v>
      </c>
      <c r="C10" s="106">
        <f>Costs!R33</f>
        <v>38947.5</v>
      </c>
      <c r="D10" s="106">
        <f>Costs!T33</f>
        <v>38947.5</v>
      </c>
      <c r="E10" s="106">
        <f>Costs!V33</f>
        <v>38947.5</v>
      </c>
      <c r="F10" s="106">
        <f>Costs!X33</f>
        <v>38947.5</v>
      </c>
      <c r="G10" s="106">
        <f>Costs!Z33</f>
        <v>0</v>
      </c>
      <c r="H10" s="106">
        <f>Costs!AB33</f>
        <v>0</v>
      </c>
      <c r="O10" s="108">
        <f>SUM(C10:N10)</f>
        <v>155790</v>
      </c>
    </row>
    <row r="11" spans="1:15" ht="18" customHeight="1" thickBot="1" x14ac:dyDescent="0.35">
      <c r="A11" s="382"/>
      <c r="B11" s="389" t="s">
        <v>86</v>
      </c>
      <c r="C11" s="385">
        <f>B7+(C8-C10)</f>
        <v>29937.5</v>
      </c>
      <c r="D11" s="102">
        <f>C11+D8-D10</f>
        <v>40990</v>
      </c>
      <c r="E11" s="102">
        <f t="shared" ref="E11:N11" si="0">D11+E8-E10</f>
        <v>2042.5</v>
      </c>
      <c r="F11" s="102">
        <f t="shared" si="0"/>
        <v>-6905</v>
      </c>
      <c r="G11" s="102">
        <f t="shared" si="0"/>
        <v>3095</v>
      </c>
      <c r="H11" s="102">
        <f t="shared" si="0"/>
        <v>3095</v>
      </c>
      <c r="I11" s="102">
        <f t="shared" si="0"/>
        <v>3095</v>
      </c>
      <c r="J11" s="102">
        <f t="shared" si="0"/>
        <v>3095</v>
      </c>
      <c r="K11" s="102">
        <f t="shared" si="0"/>
        <v>3095</v>
      </c>
      <c r="L11" s="102">
        <f t="shared" si="0"/>
        <v>3095</v>
      </c>
      <c r="M11" s="102">
        <f t="shared" si="0"/>
        <v>3095</v>
      </c>
      <c r="N11" s="102">
        <f t="shared" si="0"/>
        <v>3095</v>
      </c>
      <c r="O11" s="109">
        <f>N11</f>
        <v>3095</v>
      </c>
    </row>
    <row r="12" spans="1:15" x14ac:dyDescent="0.25">
      <c r="B12" s="106"/>
      <c r="C12" s="106"/>
      <c r="H12" s="106"/>
    </row>
    <row r="13" spans="1:15" ht="15" customHeight="1" x14ac:dyDescent="0.25">
      <c r="A13" s="293" t="s">
        <v>227</v>
      </c>
      <c r="B13" s="293" t="s">
        <v>185</v>
      </c>
      <c r="C13" s="292" t="s">
        <v>187</v>
      </c>
      <c r="D13" s="391" t="s">
        <v>184</v>
      </c>
      <c r="E13" s="111"/>
      <c r="G13" s="384" t="s">
        <v>224</v>
      </c>
      <c r="H13" s="384"/>
      <c r="I13" s="384"/>
      <c r="J13" s="384"/>
      <c r="K13" s="384"/>
      <c r="L13" s="384"/>
      <c r="M13" s="384"/>
      <c r="N13" s="384"/>
      <c r="O13" s="384"/>
    </row>
    <row r="14" spans="1:15" x14ac:dyDescent="0.25">
      <c r="A14" s="292">
        <v>10000</v>
      </c>
      <c r="B14" s="291">
        <v>200000</v>
      </c>
      <c r="C14" s="292">
        <v>50000</v>
      </c>
      <c r="D14" s="391"/>
      <c r="E14" s="290">
        <f>SUM(A14:C14)</f>
        <v>260000</v>
      </c>
      <c r="G14" s="384"/>
      <c r="H14" s="384"/>
      <c r="I14" s="384"/>
      <c r="J14" s="384"/>
      <c r="K14" s="384"/>
      <c r="L14" s="384"/>
      <c r="M14" s="384"/>
      <c r="N14" s="384"/>
      <c r="O14" s="384"/>
    </row>
    <row r="15" spans="1:15" x14ac:dyDescent="0.25">
      <c r="A15" s="112"/>
      <c r="B15" s="106"/>
      <c r="C15" s="106"/>
      <c r="D15" s="111" t="s">
        <v>228</v>
      </c>
      <c r="E15" s="111">
        <f>Costs!AC33</f>
        <v>256905</v>
      </c>
      <c r="G15" s="384"/>
      <c r="H15" s="384"/>
      <c r="I15" s="384"/>
      <c r="J15" s="384"/>
      <c r="K15" s="384"/>
      <c r="L15" s="384"/>
      <c r="M15" s="384"/>
      <c r="N15" s="384"/>
      <c r="O15" s="384"/>
    </row>
    <row r="16" spans="1:15" x14ac:dyDescent="0.25">
      <c r="A16" s="112"/>
      <c r="B16" s="106"/>
      <c r="C16" s="106"/>
      <c r="D16" s="111" t="s">
        <v>86</v>
      </c>
      <c r="E16" s="111">
        <f>E14-E15</f>
        <v>3095</v>
      </c>
    </row>
    <row r="17" spans="1:5" x14ac:dyDescent="0.25">
      <c r="A17" s="112"/>
      <c r="B17" s="106"/>
      <c r="C17" s="106"/>
      <c r="E17" s="390" t="s">
        <v>229</v>
      </c>
    </row>
    <row r="18" spans="1:5" x14ac:dyDescent="0.25">
      <c r="B18" s="106"/>
      <c r="C18" s="106"/>
      <c r="E18" s="111"/>
    </row>
  </sheetData>
  <mergeCells count="6">
    <mergeCell ref="G13:O15"/>
    <mergeCell ref="D13:D14"/>
    <mergeCell ref="A2:A5"/>
    <mergeCell ref="A8:A11"/>
    <mergeCell ref="B2:B3"/>
    <mergeCell ref="B8:B9"/>
  </mergeCells>
  <pageMargins left="0.7" right="0.7" top="0.75" bottom="0.75" header="0.3" footer="0.3"/>
  <pageSetup orientation="portrait" horizontalDpi="360" verticalDpi="36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47677-483E-41A7-8296-1548319F7932}">
  <dimension ref="A1:F31"/>
  <sheetViews>
    <sheetView topLeftCell="A13" workbookViewId="0">
      <selection activeCell="B39" sqref="B39"/>
    </sheetView>
  </sheetViews>
  <sheetFormatPr defaultRowHeight="15" x14ac:dyDescent="0.25"/>
  <cols>
    <col min="1" max="1" width="7.42578125" bestFit="1" customWidth="1"/>
    <col min="2" max="2" width="47.42578125" bestFit="1" customWidth="1"/>
    <col min="3" max="3" width="6.140625" style="2" customWidth="1"/>
    <col min="4" max="4" width="34.42578125" bestFit="1" customWidth="1"/>
    <col min="5" max="5" width="12.5703125" style="213" customWidth="1"/>
    <col min="6" max="6" width="12.140625" style="2" bestFit="1" customWidth="1"/>
  </cols>
  <sheetData>
    <row r="1" spans="1:6" ht="19.5" thickBot="1" x14ac:dyDescent="0.35">
      <c r="A1" s="182"/>
      <c r="B1" s="182" t="s">
        <v>139</v>
      </c>
      <c r="C1" s="182" t="s">
        <v>130</v>
      </c>
      <c r="D1" s="182" t="s">
        <v>135</v>
      </c>
      <c r="E1" s="200" t="s">
        <v>131</v>
      </c>
      <c r="F1" s="183" t="s">
        <v>132</v>
      </c>
    </row>
    <row r="2" spans="1:6" x14ac:dyDescent="0.25">
      <c r="A2" s="198">
        <v>44743</v>
      </c>
      <c r="B2" s="201"/>
      <c r="C2" s="26">
        <f>Costs!E$11</f>
        <v>0</v>
      </c>
      <c r="D2" s="202" t="s">
        <v>136</v>
      </c>
      <c r="E2" s="208">
        <f>'Production Income'!C$9</f>
        <v>0</v>
      </c>
      <c r="F2" s="219">
        <f>'Education Income'!K15</f>
        <v>312</v>
      </c>
    </row>
    <row r="3" spans="1:6" x14ac:dyDescent="0.25">
      <c r="A3" s="199">
        <v>44774</v>
      </c>
      <c r="B3" s="203"/>
      <c r="C3" s="2">
        <f>Costs!G$11</f>
        <v>0</v>
      </c>
      <c r="D3" s="47"/>
      <c r="E3" s="209">
        <f>'Production Income'!D$9</f>
        <v>0</v>
      </c>
      <c r="F3" s="210"/>
    </row>
    <row r="4" spans="1:6" x14ac:dyDescent="0.25">
      <c r="A4" s="199">
        <v>44805</v>
      </c>
      <c r="B4" s="203" t="s">
        <v>140</v>
      </c>
      <c r="C4" s="2">
        <f>Costs!I$11</f>
        <v>0</v>
      </c>
      <c r="D4" s="47"/>
      <c r="E4" s="209">
        <f>'Production Income'!E$9</f>
        <v>0</v>
      </c>
      <c r="F4" s="210"/>
    </row>
    <row r="5" spans="1:6" x14ac:dyDescent="0.25">
      <c r="A5" s="199">
        <v>44835</v>
      </c>
      <c r="B5" s="203" t="s">
        <v>133</v>
      </c>
      <c r="C5" s="2">
        <f>Costs!K$11</f>
        <v>3</v>
      </c>
      <c r="D5" s="47" t="s">
        <v>137</v>
      </c>
      <c r="E5" s="209">
        <f>'Production Income'!F$9</f>
        <v>0</v>
      </c>
      <c r="F5" s="210"/>
    </row>
    <row r="6" spans="1:6" x14ac:dyDescent="0.25">
      <c r="A6" s="199">
        <v>44866</v>
      </c>
      <c r="B6" s="203" t="s">
        <v>147</v>
      </c>
      <c r="C6" s="2">
        <f>Costs!M$11</f>
        <v>4</v>
      </c>
      <c r="D6" s="47"/>
      <c r="E6" s="209">
        <f>'Production Income'!G$9</f>
        <v>10000</v>
      </c>
      <c r="F6" s="210"/>
    </row>
    <row r="7" spans="1:6" x14ac:dyDescent="0.25">
      <c r="A7" s="199">
        <v>44896</v>
      </c>
      <c r="B7" s="203" t="s">
        <v>157</v>
      </c>
      <c r="C7" s="2">
        <f>Costs!O$11</f>
        <v>5</v>
      </c>
      <c r="D7" s="47"/>
      <c r="E7" s="209">
        <f>'Production Income'!H$9</f>
        <v>100000</v>
      </c>
      <c r="F7" s="210"/>
    </row>
    <row r="8" spans="1:6" x14ac:dyDescent="0.25">
      <c r="A8" s="199">
        <v>44927</v>
      </c>
      <c r="B8" s="203" t="s">
        <v>134</v>
      </c>
      <c r="C8" s="2">
        <f>Costs!Q$11</f>
        <v>5</v>
      </c>
      <c r="D8" s="47"/>
      <c r="E8" s="209">
        <f>'Production Income'!I$9</f>
        <v>0</v>
      </c>
      <c r="F8" s="220">
        <f>'Education Income'!M15</f>
        <v>470</v>
      </c>
    </row>
    <row r="9" spans="1:6" x14ac:dyDescent="0.25">
      <c r="A9" s="199">
        <v>44958</v>
      </c>
      <c r="B9" s="203" t="s">
        <v>156</v>
      </c>
      <c r="C9" s="2">
        <f>Costs!S$11</f>
        <v>5</v>
      </c>
      <c r="D9" s="47"/>
      <c r="E9" s="209">
        <f>'Production Income'!J$9</f>
        <v>30000</v>
      </c>
      <c r="F9" s="210"/>
    </row>
    <row r="10" spans="1:6" x14ac:dyDescent="0.25">
      <c r="A10" s="199">
        <v>44986</v>
      </c>
      <c r="B10" s="203"/>
      <c r="C10" s="2">
        <f>Costs!U$11</f>
        <v>5</v>
      </c>
      <c r="D10" s="47" t="s">
        <v>138</v>
      </c>
      <c r="E10" s="209">
        <f>'Production Income'!K$9</f>
        <v>50000</v>
      </c>
      <c r="F10" s="210"/>
    </row>
    <row r="11" spans="1:6" x14ac:dyDescent="0.25">
      <c r="A11" s="199">
        <v>45017</v>
      </c>
      <c r="B11" s="203"/>
      <c r="C11" s="2">
        <f>Costs!AA$11</f>
        <v>0</v>
      </c>
      <c r="D11" s="47" t="s">
        <v>138</v>
      </c>
      <c r="E11" s="209">
        <f>'Production Income'!L$9</f>
        <v>0</v>
      </c>
      <c r="F11" s="210"/>
    </row>
    <row r="12" spans="1:6" x14ac:dyDescent="0.25">
      <c r="A12" s="199">
        <v>45047</v>
      </c>
      <c r="B12" s="203" t="s">
        <v>146</v>
      </c>
      <c r="C12" s="2">
        <f>Costs!E$49</f>
        <v>0</v>
      </c>
      <c r="D12" s="47" t="s">
        <v>148</v>
      </c>
      <c r="E12" s="209">
        <f>'Production Income'!M$9</f>
        <v>100000</v>
      </c>
      <c r="F12" s="210"/>
    </row>
    <row r="13" spans="1:6" ht="15.75" thickBot="1" x14ac:dyDescent="0.3">
      <c r="A13" s="204">
        <v>45078</v>
      </c>
      <c r="B13" s="205"/>
      <c r="C13" s="207">
        <f>Costs!G$49</f>
        <v>0</v>
      </c>
      <c r="D13" s="206"/>
      <c r="E13" s="211">
        <f>'Production Income'!N$9</f>
        <v>2000000</v>
      </c>
      <c r="F13" s="212"/>
    </row>
    <row r="14" spans="1:6" ht="15.75" thickTop="1" x14ac:dyDescent="0.25">
      <c r="A14" s="199">
        <v>45108</v>
      </c>
      <c r="B14" s="203"/>
      <c r="C14" s="2">
        <f>Costs!I$49</f>
        <v>0</v>
      </c>
      <c r="D14" s="47"/>
      <c r="E14" s="209">
        <f>'Production Income'!C$19</f>
        <v>0</v>
      </c>
      <c r="F14" s="220">
        <f>'Education Income'!M15</f>
        <v>470</v>
      </c>
    </row>
    <row r="15" spans="1:6" x14ac:dyDescent="0.25">
      <c r="A15" s="199">
        <v>45139</v>
      </c>
      <c r="B15" s="203" t="s">
        <v>149</v>
      </c>
      <c r="C15" s="2">
        <f>Costs!K$49</f>
        <v>0</v>
      </c>
      <c r="D15" s="47"/>
      <c r="E15" s="209">
        <f>'Production Income'!D$19</f>
        <v>2000000</v>
      </c>
      <c r="F15" s="210"/>
    </row>
    <row r="16" spans="1:6" x14ac:dyDescent="0.25">
      <c r="A16" s="199">
        <v>45170</v>
      </c>
      <c r="B16" s="203"/>
      <c r="C16" s="2">
        <f>Costs!M$49</f>
        <v>0</v>
      </c>
      <c r="D16" s="47"/>
      <c r="E16" s="209">
        <f>'Production Income'!E$19</f>
        <v>0</v>
      </c>
      <c r="F16" s="210"/>
    </row>
    <row r="17" spans="1:6" x14ac:dyDescent="0.25">
      <c r="A17" s="199">
        <v>45200</v>
      </c>
      <c r="B17" s="203"/>
      <c r="C17" s="2">
        <f>Costs!O$49</f>
        <v>0</v>
      </c>
      <c r="D17" s="47"/>
      <c r="E17" s="209">
        <f>'Production Income'!F$19</f>
        <v>0</v>
      </c>
      <c r="F17" s="210"/>
    </row>
    <row r="18" spans="1:6" x14ac:dyDescent="0.25">
      <c r="A18" s="199">
        <v>45231</v>
      </c>
      <c r="B18" s="203" t="s">
        <v>150</v>
      </c>
      <c r="C18" s="2">
        <f>Costs!Q$49</f>
        <v>0</v>
      </c>
      <c r="D18" s="47"/>
      <c r="E18" s="209">
        <f>'Production Income'!G$19</f>
        <v>2000000</v>
      </c>
      <c r="F18" s="210"/>
    </row>
    <row r="19" spans="1:6" x14ac:dyDescent="0.25">
      <c r="A19" s="199">
        <v>45261</v>
      </c>
      <c r="B19" s="203" t="s">
        <v>154</v>
      </c>
      <c r="C19" s="2">
        <f>Costs!S$49</f>
        <v>0</v>
      </c>
      <c r="D19" s="47"/>
      <c r="E19" s="209">
        <f>'Production Income'!H$19</f>
        <v>0</v>
      </c>
      <c r="F19" s="210"/>
    </row>
    <row r="20" spans="1:6" x14ac:dyDescent="0.25">
      <c r="A20" s="199">
        <v>45292</v>
      </c>
      <c r="B20" s="203" t="s">
        <v>152</v>
      </c>
      <c r="C20" s="2" t="e">
        <f>Costs!#REF!</f>
        <v>#REF!</v>
      </c>
      <c r="D20" s="47"/>
      <c r="E20" s="209">
        <f>'Production Income'!I$19</f>
        <v>0</v>
      </c>
      <c r="F20" s="220">
        <f>'Education Income'!T15</f>
        <v>642.5</v>
      </c>
    </row>
    <row r="21" spans="1:6" x14ac:dyDescent="0.25">
      <c r="A21" s="199">
        <v>45323</v>
      </c>
      <c r="B21" s="203" t="s">
        <v>151</v>
      </c>
      <c r="C21" s="2" t="e">
        <f>Costs!#REF!</f>
        <v>#REF!</v>
      </c>
      <c r="D21" s="47"/>
      <c r="E21" s="209">
        <f>'Production Income'!J$19</f>
        <v>2000000</v>
      </c>
      <c r="F21" s="210"/>
    </row>
    <row r="22" spans="1:6" x14ac:dyDescent="0.25">
      <c r="A22" s="199">
        <v>45352</v>
      </c>
      <c r="B22" s="203" t="s">
        <v>153</v>
      </c>
      <c r="C22" s="2" t="e">
        <f>Costs!#REF!</f>
        <v>#REF!</v>
      </c>
      <c r="D22" s="47"/>
      <c r="E22" s="209">
        <f>'Production Income'!K$19</f>
        <v>10000000</v>
      </c>
      <c r="F22" s="210"/>
    </row>
    <row r="23" spans="1:6" x14ac:dyDescent="0.25">
      <c r="A23" s="199">
        <v>45383</v>
      </c>
      <c r="B23" s="203"/>
      <c r="C23" s="2" t="e">
        <f>Costs!#REF!</f>
        <v>#REF!</v>
      </c>
      <c r="D23" s="47"/>
      <c r="E23" s="209">
        <f>'Production Income'!L$19</f>
        <v>0</v>
      </c>
      <c r="F23" s="210"/>
    </row>
    <row r="24" spans="1:6" x14ac:dyDescent="0.25">
      <c r="A24" s="199">
        <v>45413</v>
      </c>
      <c r="B24" s="203"/>
      <c r="C24" s="2" t="e">
        <f>Costs!#REF!</f>
        <v>#REF!</v>
      </c>
      <c r="D24" s="47"/>
      <c r="E24" s="209">
        <f>'Production Income'!M$19</f>
        <v>0</v>
      </c>
      <c r="F24" s="210"/>
    </row>
    <row r="25" spans="1:6" ht="15.75" thickBot="1" x14ac:dyDescent="0.3">
      <c r="A25" s="204">
        <v>45444</v>
      </c>
      <c r="B25" s="205"/>
      <c r="C25" s="207" t="e">
        <f>Costs!#REF!</f>
        <v>#REF!</v>
      </c>
      <c r="D25" s="206"/>
      <c r="E25" s="211">
        <f>'Production Income'!N$19</f>
        <v>0</v>
      </c>
      <c r="F25" s="212"/>
    </row>
    <row r="26" spans="1:6" ht="15.75" thickTop="1" x14ac:dyDescent="0.25">
      <c r="A26" s="199">
        <v>45474</v>
      </c>
      <c r="B26" s="203"/>
      <c r="C26" s="2" t="e">
        <f>Costs!#REF!</f>
        <v>#REF!</v>
      </c>
      <c r="D26" s="47"/>
      <c r="E26" s="209">
        <f>'Production Income'!C$29</f>
        <v>0</v>
      </c>
      <c r="F26" s="220">
        <f>'Education Income'!Y15</f>
        <v>642.5</v>
      </c>
    </row>
    <row r="27" spans="1:6" x14ac:dyDescent="0.25">
      <c r="A27" s="199">
        <v>45505</v>
      </c>
      <c r="B27" s="203" t="s">
        <v>155</v>
      </c>
      <c r="C27" s="2" t="e">
        <f>Costs!#REF!</f>
        <v>#REF!</v>
      </c>
      <c r="D27" s="47"/>
      <c r="E27" s="209">
        <f>'Production Income'!D$29</f>
        <v>24000000</v>
      </c>
      <c r="F27" s="210"/>
    </row>
    <row r="28" spans="1:6" x14ac:dyDescent="0.25">
      <c r="A28" s="199">
        <v>45536</v>
      </c>
      <c r="B28" s="203"/>
      <c r="C28" s="2" t="e">
        <f>Costs!#REF!</f>
        <v>#REF!</v>
      </c>
      <c r="D28" s="47"/>
      <c r="E28" s="209">
        <f>'Production Income'!E$29</f>
        <v>0</v>
      </c>
      <c r="F28" s="210"/>
    </row>
    <row r="29" spans="1:6" x14ac:dyDescent="0.25">
      <c r="A29" s="199">
        <v>45566</v>
      </c>
      <c r="B29" s="203" t="s">
        <v>161</v>
      </c>
      <c r="C29" s="2" t="e">
        <f>Costs!#REF!</f>
        <v>#REF!</v>
      </c>
      <c r="D29" s="47"/>
      <c r="E29" s="209">
        <f>'Production Income'!F$29</f>
        <v>0</v>
      </c>
      <c r="F29" s="210"/>
    </row>
    <row r="30" spans="1:6" x14ac:dyDescent="0.25">
      <c r="A30" s="199">
        <v>45597</v>
      </c>
      <c r="B30" s="203" t="s">
        <v>160</v>
      </c>
      <c r="C30" s="2" t="e">
        <f>Costs!#REF!</f>
        <v>#REF!</v>
      </c>
      <c r="D30" s="47"/>
      <c r="E30" s="209">
        <f>'Production Income'!G$29</f>
        <v>30000000</v>
      </c>
      <c r="F30" s="210"/>
    </row>
    <row r="31" spans="1:6" x14ac:dyDescent="0.25">
      <c r="A31" s="199">
        <v>45627</v>
      </c>
      <c r="B31" s="203"/>
      <c r="C31" s="2" t="e">
        <f>Costs!#REF!</f>
        <v>#REF!</v>
      </c>
      <c r="D31" s="47"/>
      <c r="E31" s="209">
        <f>'Production Income'!H$29</f>
        <v>0</v>
      </c>
      <c r="F31" s="210"/>
    </row>
  </sheetData>
  <phoneticPr fontId="23" type="noConversion"/>
  <pageMargins left="0.7" right="0.7" top="0.75" bottom="0.75" header="0.3" footer="0.3"/>
  <pageSetup orientation="portrait" horizontalDpi="360" verticalDpi="36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BA47D-0EA4-472F-9D72-DC96102E9C93}">
  <dimension ref="A1:BE75"/>
  <sheetViews>
    <sheetView zoomScale="85" zoomScaleNormal="85" workbookViewId="0">
      <pane xSplit="2" topLeftCell="C1" activePane="topRight" state="frozen"/>
      <selection pane="topRight" activeCell="L4" sqref="L4"/>
    </sheetView>
  </sheetViews>
  <sheetFormatPr defaultRowHeight="15" x14ac:dyDescent="0.25"/>
  <cols>
    <col min="1" max="1" width="9.140625" style="355"/>
    <col min="2" max="2" width="20.140625" style="355" bestFit="1" customWidth="1"/>
    <col min="3" max="3" width="6.42578125" style="355" bestFit="1" customWidth="1"/>
    <col min="4" max="4" width="11.42578125" style="355" bestFit="1" customWidth="1"/>
    <col min="5" max="5" width="10.140625" style="353" customWidth="1"/>
    <col min="6" max="6" width="12.42578125" style="353" customWidth="1"/>
    <col min="7" max="7" width="10.140625" style="353" customWidth="1"/>
    <col min="8" max="8" width="12.42578125" style="353" customWidth="1"/>
    <col min="9" max="9" width="10.140625" style="353" bestFit="1" customWidth="1"/>
    <col min="10" max="10" width="12.42578125" style="353" bestFit="1" customWidth="1"/>
    <col min="11" max="11" width="10.140625" style="353" bestFit="1" customWidth="1"/>
    <col min="12" max="12" width="12.42578125" style="353" bestFit="1" customWidth="1"/>
    <col min="13" max="13" width="10.140625" style="353" bestFit="1" customWidth="1"/>
    <col min="14" max="14" width="12.42578125" style="353" bestFit="1" customWidth="1"/>
    <col min="15" max="15" width="10.140625" style="353" bestFit="1" customWidth="1"/>
    <col min="16" max="16" width="12.42578125" style="353" bestFit="1" customWidth="1"/>
    <col min="17" max="17" width="10.140625" style="353" bestFit="1" customWidth="1"/>
    <col min="18" max="18" width="12.42578125" style="353" bestFit="1" customWidth="1"/>
    <col min="19" max="19" width="10.140625" style="353" bestFit="1" customWidth="1"/>
    <col min="20" max="20" width="12.42578125" style="353" bestFit="1" customWidth="1"/>
    <col min="21" max="21" width="10.140625" style="353" bestFit="1" customWidth="1"/>
    <col min="22" max="22" width="12.42578125" style="353" bestFit="1" customWidth="1"/>
    <col min="23" max="26" width="12.42578125" style="353" customWidth="1"/>
    <col min="27" max="27" width="10.140625" style="353" bestFit="1" customWidth="1"/>
    <col min="28" max="28" width="12.42578125" style="353" bestFit="1" customWidth="1"/>
    <col min="29" max="29" width="11.85546875" style="213" bestFit="1" customWidth="1"/>
    <col min="30" max="30" width="0.85546875" style="355" customWidth="1"/>
    <col min="31" max="31" width="11.42578125" style="355" bestFit="1" customWidth="1"/>
    <col min="32" max="32" width="10.140625" style="355" bestFit="1" customWidth="1"/>
    <col min="33" max="33" width="12.42578125" style="355" bestFit="1" customWidth="1"/>
    <col min="34" max="34" width="10.140625" style="355" bestFit="1" customWidth="1"/>
    <col min="35" max="35" width="12.42578125" style="355" bestFit="1" customWidth="1"/>
    <col min="36" max="36" width="10.140625" style="355" bestFit="1" customWidth="1"/>
    <col min="37" max="37" width="12.42578125" style="355" bestFit="1" customWidth="1"/>
    <col min="38" max="38" width="10.140625" style="355" bestFit="1" customWidth="1"/>
    <col min="39" max="39" width="12.42578125" style="355" bestFit="1" customWidth="1"/>
    <col min="40" max="40" width="10.140625" style="355" bestFit="1" customWidth="1"/>
    <col min="41" max="41" width="12.42578125" style="355" bestFit="1" customWidth="1"/>
    <col min="42" max="42" width="10.140625" style="355" bestFit="1" customWidth="1"/>
    <col min="43" max="43" width="12.42578125" style="355" bestFit="1" customWidth="1"/>
    <col min="44" max="44" width="10.140625" style="355" bestFit="1" customWidth="1"/>
    <col min="45" max="45" width="12.42578125" style="355" bestFit="1" customWidth="1"/>
    <col min="46" max="46" width="10.140625" style="355" customWidth="1"/>
    <col min="47" max="47" width="12.42578125" style="355" bestFit="1" customWidth="1"/>
    <col min="48" max="48" width="10.140625" style="355" bestFit="1" customWidth="1"/>
    <col min="49" max="49" width="12.42578125" style="355" bestFit="1" customWidth="1"/>
    <col min="50" max="50" width="10.140625" style="355" bestFit="1" customWidth="1"/>
    <col min="51" max="51" width="12.42578125" style="355" bestFit="1" customWidth="1"/>
    <col min="52" max="52" width="10.140625" style="355" bestFit="1" customWidth="1"/>
    <col min="53" max="53" width="12.42578125" style="355" bestFit="1" customWidth="1"/>
    <col min="54" max="54" width="10.140625" style="355" bestFit="1" customWidth="1"/>
    <col min="55" max="55" width="11.85546875" style="181" bestFit="1" customWidth="1"/>
    <col min="56" max="56" width="0.85546875" style="355" customWidth="1"/>
    <col min="57" max="16384" width="9.140625" style="355"/>
  </cols>
  <sheetData>
    <row r="1" spans="1:56" s="4" customFormat="1" ht="15.75" thickBot="1" x14ac:dyDescent="0.3">
      <c r="A1" s="347" t="s">
        <v>220</v>
      </c>
      <c r="B1" s="46"/>
      <c r="C1" s="46"/>
      <c r="D1" s="46"/>
      <c r="E1" s="372" t="s">
        <v>203</v>
      </c>
      <c r="F1" s="100"/>
      <c r="G1" s="373" t="s">
        <v>204</v>
      </c>
      <c r="H1" s="100"/>
      <c r="I1" s="372" t="s">
        <v>205</v>
      </c>
      <c r="J1" s="100"/>
      <c r="K1" s="5" t="s">
        <v>206</v>
      </c>
      <c r="M1" s="214" t="s">
        <v>207</v>
      </c>
      <c r="O1" s="5" t="s">
        <v>208</v>
      </c>
      <c r="Q1" s="214" t="s">
        <v>209</v>
      </c>
      <c r="S1" s="5" t="s">
        <v>210</v>
      </c>
      <c r="U1" s="214" t="s">
        <v>211</v>
      </c>
      <c r="W1" s="5" t="s">
        <v>212</v>
      </c>
      <c r="Y1" s="214" t="s">
        <v>213</v>
      </c>
      <c r="AA1" s="5" t="s">
        <v>214</v>
      </c>
      <c r="AC1" s="186"/>
      <c r="AD1" s="48"/>
      <c r="BD1" s="48"/>
    </row>
    <row r="2" spans="1:56" s="350" customFormat="1" ht="15.75" thickBot="1" x14ac:dyDescent="0.3">
      <c r="A2" s="347"/>
      <c r="B2" s="349"/>
      <c r="C2" s="188" t="s">
        <v>35</v>
      </c>
      <c r="D2" s="188" t="s">
        <v>15</v>
      </c>
      <c r="E2" s="374" t="s">
        <v>13</v>
      </c>
      <c r="F2" s="375" t="s">
        <v>14</v>
      </c>
      <c r="G2" s="374" t="s">
        <v>13</v>
      </c>
      <c r="H2" s="375" t="s">
        <v>14</v>
      </c>
      <c r="I2" s="374" t="s">
        <v>13</v>
      </c>
      <c r="J2" s="375" t="s">
        <v>14</v>
      </c>
      <c r="K2" s="189" t="s">
        <v>13</v>
      </c>
      <c r="L2" s="357" t="s">
        <v>14</v>
      </c>
      <c r="M2" s="189" t="s">
        <v>13</v>
      </c>
      <c r="N2" s="357" t="s">
        <v>14</v>
      </c>
      <c r="O2" s="189" t="s">
        <v>13</v>
      </c>
      <c r="P2" s="357" t="s">
        <v>14</v>
      </c>
      <c r="Q2" s="189" t="s">
        <v>13</v>
      </c>
      <c r="R2" s="357" t="s">
        <v>14</v>
      </c>
      <c r="S2" s="189" t="s">
        <v>13</v>
      </c>
      <c r="T2" s="357" t="s">
        <v>14</v>
      </c>
      <c r="U2" s="189" t="s">
        <v>13</v>
      </c>
      <c r="V2" s="357" t="s">
        <v>14</v>
      </c>
      <c r="W2" s="189" t="s">
        <v>13</v>
      </c>
      <c r="X2" s="357" t="s">
        <v>14</v>
      </c>
      <c r="Y2" s="189" t="s">
        <v>13</v>
      </c>
      <c r="Z2" s="357" t="s">
        <v>14</v>
      </c>
      <c r="AA2" s="189" t="s">
        <v>13</v>
      </c>
      <c r="AB2" s="357" t="s">
        <v>14</v>
      </c>
      <c r="AC2" s="358"/>
      <c r="AD2" s="190"/>
      <c r="BD2" s="190"/>
    </row>
    <row r="3" spans="1:56" ht="3.6" customHeight="1" x14ac:dyDescent="0.25">
      <c r="A3" s="347"/>
      <c r="B3" s="351"/>
      <c r="C3" s="351"/>
      <c r="D3" s="352"/>
      <c r="E3" s="100"/>
      <c r="F3" s="364"/>
      <c r="G3" s="100"/>
      <c r="H3" s="364"/>
      <c r="I3" s="100"/>
      <c r="J3" s="364"/>
      <c r="L3" s="359"/>
      <c r="N3" s="359"/>
      <c r="P3" s="359"/>
      <c r="R3" s="359"/>
      <c r="T3" s="359"/>
      <c r="V3" s="359"/>
      <c r="X3" s="359"/>
      <c r="Z3" s="359"/>
      <c r="AB3" s="359"/>
      <c r="AC3" s="360"/>
      <c r="AD3" s="354"/>
      <c r="BD3" s="354"/>
    </row>
    <row r="4" spans="1:56" ht="14.45" customHeight="1" x14ac:dyDescent="0.25">
      <c r="A4" s="347"/>
      <c r="B4" s="351" t="s">
        <v>215</v>
      </c>
      <c r="C4" s="351" t="s">
        <v>191</v>
      </c>
      <c r="D4" s="352">
        <f>'FTE cost calcs'!G27</f>
        <v>100980</v>
      </c>
      <c r="E4" s="100"/>
      <c r="F4" s="364">
        <f>E4*($D4/12)</f>
        <v>0</v>
      </c>
      <c r="G4" s="100">
        <f>E4</f>
        <v>0</v>
      </c>
      <c r="H4" s="364">
        <f>G4*($D4/12)</f>
        <v>0</v>
      </c>
      <c r="I4" s="100">
        <f t="shared" ref="I4:I10" si="0">G4</f>
        <v>0</v>
      </c>
      <c r="J4" s="364">
        <f>I4*($D4/12)</f>
        <v>0</v>
      </c>
      <c r="K4" s="353">
        <v>1</v>
      </c>
      <c r="L4" s="359">
        <f>K4*($D4/12)</f>
        <v>8415</v>
      </c>
      <c r="M4" s="353">
        <f>K4</f>
        <v>1</v>
      </c>
      <c r="N4" s="359">
        <f>M4*($D4/12)</f>
        <v>8415</v>
      </c>
      <c r="O4" s="353">
        <f t="shared" ref="O4:O10" si="1">M4</f>
        <v>1</v>
      </c>
      <c r="P4" s="359">
        <f>O4*($D4/12)</f>
        <v>8415</v>
      </c>
      <c r="Q4" s="353">
        <f>O4</f>
        <v>1</v>
      </c>
      <c r="R4" s="359">
        <f>Q4*($D4/12)</f>
        <v>8415</v>
      </c>
      <c r="S4" s="353">
        <f t="shared" ref="S4:S16" si="2">Q4</f>
        <v>1</v>
      </c>
      <c r="T4" s="359">
        <f t="shared" ref="T4:T16" si="3">S4*($D4/12)</f>
        <v>8415</v>
      </c>
      <c r="U4" s="353">
        <f t="shared" ref="U4:U16" si="4">S4</f>
        <v>1</v>
      </c>
      <c r="V4" s="359">
        <f t="shared" ref="V4:V16" si="5">U4*($D4/12)</f>
        <v>8415</v>
      </c>
      <c r="W4" s="353">
        <f t="shared" ref="W4:W16" si="6">U4</f>
        <v>1</v>
      </c>
      <c r="X4" s="359">
        <f t="shared" ref="X4:X16" si="7">W4*($D4/12)</f>
        <v>8415</v>
      </c>
      <c r="Z4" s="359">
        <f t="shared" ref="Z4:Z16" si="8">Y4*($D4/12)</f>
        <v>0</v>
      </c>
      <c r="AA4" s="353">
        <f t="shared" ref="AA4:AA16" si="9">Y4</f>
        <v>0</v>
      </c>
      <c r="AB4" s="359">
        <f t="shared" ref="AB4:AB10" si="10">AA4*($D4/12)</f>
        <v>0</v>
      </c>
      <c r="AC4" s="360"/>
      <c r="AD4" s="354"/>
      <c r="BD4" s="354"/>
    </row>
    <row r="5" spans="1:56" x14ac:dyDescent="0.25">
      <c r="A5" s="347"/>
      <c r="B5" s="351" t="s">
        <v>63</v>
      </c>
      <c r="C5" s="351" t="s">
        <v>190</v>
      </c>
      <c r="D5" s="352">
        <f>'FTE cost calcs'!E27</f>
        <v>61710</v>
      </c>
      <c r="E5" s="100"/>
      <c r="F5" s="364">
        <f t="shared" ref="F5:L10" si="11">E5*($D5/12)</f>
        <v>0</v>
      </c>
      <c r="G5" s="100">
        <f t="shared" ref="G5:K10" si="12">E5</f>
        <v>0</v>
      </c>
      <c r="H5" s="364">
        <f t="shared" si="11"/>
        <v>0</v>
      </c>
      <c r="I5" s="100"/>
      <c r="J5" s="364">
        <f t="shared" si="11"/>
        <v>0</v>
      </c>
      <c r="L5" s="359">
        <f t="shared" ref="L5:L15" si="13">K5*($D5/12)</f>
        <v>0</v>
      </c>
      <c r="M5" s="353">
        <f t="shared" ref="M5:M10" si="14">K5</f>
        <v>0</v>
      </c>
      <c r="N5" s="359">
        <f t="shared" ref="N5:N15" si="15">M5*($D5/12)</f>
        <v>0</v>
      </c>
      <c r="O5" s="353">
        <v>1</v>
      </c>
      <c r="P5" s="359">
        <f t="shared" ref="P5:P15" si="16">O5*($D5/12)</f>
        <v>5142.5</v>
      </c>
      <c r="Q5" s="353">
        <f t="shared" ref="Q5:Q15" si="17">O5</f>
        <v>1</v>
      </c>
      <c r="R5" s="359">
        <f t="shared" ref="R5:R15" si="18">Q5*($D5/12)</f>
        <v>5142.5</v>
      </c>
      <c r="S5" s="353">
        <f t="shared" si="2"/>
        <v>1</v>
      </c>
      <c r="T5" s="359">
        <f t="shared" si="3"/>
        <v>5142.5</v>
      </c>
      <c r="U5" s="353">
        <f t="shared" si="4"/>
        <v>1</v>
      </c>
      <c r="V5" s="359">
        <f t="shared" si="5"/>
        <v>5142.5</v>
      </c>
      <c r="W5" s="353">
        <f t="shared" si="6"/>
        <v>1</v>
      </c>
      <c r="X5" s="359">
        <f t="shared" si="7"/>
        <v>5142.5</v>
      </c>
      <c r="Z5" s="359">
        <f t="shared" si="8"/>
        <v>0</v>
      </c>
      <c r="AA5" s="353">
        <f t="shared" si="9"/>
        <v>0</v>
      </c>
      <c r="AB5" s="359">
        <f t="shared" si="10"/>
        <v>0</v>
      </c>
      <c r="AC5" s="360"/>
      <c r="AD5" s="354"/>
      <c r="BD5" s="354"/>
    </row>
    <row r="6" spans="1:56" x14ac:dyDescent="0.25">
      <c r="A6" s="347"/>
      <c r="B6" s="351" t="s">
        <v>114</v>
      </c>
      <c r="C6" s="351" t="s">
        <v>190</v>
      </c>
      <c r="D6" s="352">
        <f>'FTE cost calcs'!E27</f>
        <v>61710</v>
      </c>
      <c r="E6" s="100"/>
      <c r="F6" s="364">
        <f t="shared" si="11"/>
        <v>0</v>
      </c>
      <c r="G6" s="100"/>
      <c r="H6" s="364">
        <f t="shared" si="11"/>
        <v>0</v>
      </c>
      <c r="I6" s="100">
        <f t="shared" si="0"/>
        <v>0</v>
      </c>
      <c r="J6" s="364">
        <f t="shared" si="11"/>
        <v>0</v>
      </c>
      <c r="L6" s="359">
        <f t="shared" si="13"/>
        <v>0</v>
      </c>
      <c r="M6" s="353">
        <v>1</v>
      </c>
      <c r="N6" s="359">
        <f t="shared" si="15"/>
        <v>5142.5</v>
      </c>
      <c r="O6" s="353">
        <f t="shared" ref="O6:O16" si="19">M6</f>
        <v>1</v>
      </c>
      <c r="P6" s="359">
        <f t="shared" si="16"/>
        <v>5142.5</v>
      </c>
      <c r="Q6" s="353">
        <f t="shared" si="17"/>
        <v>1</v>
      </c>
      <c r="R6" s="359">
        <f t="shared" si="18"/>
        <v>5142.5</v>
      </c>
      <c r="S6" s="353">
        <f t="shared" si="2"/>
        <v>1</v>
      </c>
      <c r="T6" s="359">
        <f t="shared" si="3"/>
        <v>5142.5</v>
      </c>
      <c r="U6" s="353">
        <f t="shared" si="4"/>
        <v>1</v>
      </c>
      <c r="V6" s="359">
        <f t="shared" si="5"/>
        <v>5142.5</v>
      </c>
      <c r="W6" s="353">
        <f t="shared" si="6"/>
        <v>1</v>
      </c>
      <c r="X6" s="359">
        <f t="shared" si="7"/>
        <v>5142.5</v>
      </c>
      <c r="Z6" s="359">
        <f t="shared" si="8"/>
        <v>0</v>
      </c>
      <c r="AA6" s="353">
        <f t="shared" si="9"/>
        <v>0</v>
      </c>
      <c r="AB6" s="359">
        <f t="shared" si="10"/>
        <v>0</v>
      </c>
      <c r="AC6" s="360"/>
      <c r="AD6" s="354"/>
      <c r="BD6" s="354"/>
    </row>
    <row r="7" spans="1:56" x14ac:dyDescent="0.25">
      <c r="A7" s="347"/>
      <c r="B7" s="351" t="s">
        <v>216</v>
      </c>
      <c r="C7" s="351" t="s">
        <v>191</v>
      </c>
      <c r="D7" s="352">
        <f>'FTE cost calcs'!G27</f>
        <v>100980</v>
      </c>
      <c r="E7" s="100"/>
      <c r="F7" s="364">
        <f t="shared" si="11"/>
        <v>0</v>
      </c>
      <c r="G7" s="100">
        <f t="shared" si="12"/>
        <v>0</v>
      </c>
      <c r="H7" s="364">
        <f t="shared" si="11"/>
        <v>0</v>
      </c>
      <c r="I7" s="100">
        <f t="shared" si="0"/>
        <v>0</v>
      </c>
      <c r="J7" s="364">
        <f t="shared" si="11"/>
        <v>0</v>
      </c>
      <c r="K7" s="353">
        <v>1</v>
      </c>
      <c r="L7" s="359">
        <f t="shared" si="13"/>
        <v>8415</v>
      </c>
      <c r="M7" s="353">
        <f t="shared" ref="M7:M15" si="20">K7</f>
        <v>1</v>
      </c>
      <c r="N7" s="359">
        <f t="shared" si="15"/>
        <v>8415</v>
      </c>
      <c r="O7" s="353">
        <f t="shared" si="19"/>
        <v>1</v>
      </c>
      <c r="P7" s="359">
        <f t="shared" si="16"/>
        <v>8415</v>
      </c>
      <c r="Q7" s="353">
        <f t="shared" si="17"/>
        <v>1</v>
      </c>
      <c r="R7" s="359">
        <f t="shared" si="18"/>
        <v>8415</v>
      </c>
      <c r="S7" s="353">
        <f t="shared" si="2"/>
        <v>1</v>
      </c>
      <c r="T7" s="359">
        <f t="shared" si="3"/>
        <v>8415</v>
      </c>
      <c r="U7" s="353">
        <f t="shared" si="4"/>
        <v>1</v>
      </c>
      <c r="V7" s="359">
        <f t="shared" si="5"/>
        <v>8415</v>
      </c>
      <c r="W7" s="353">
        <f t="shared" si="6"/>
        <v>1</v>
      </c>
      <c r="X7" s="359">
        <f t="shared" si="7"/>
        <v>8415</v>
      </c>
      <c r="Z7" s="359">
        <f t="shared" si="8"/>
        <v>0</v>
      </c>
      <c r="AA7" s="353">
        <f t="shared" si="9"/>
        <v>0</v>
      </c>
      <c r="AB7" s="359">
        <f t="shared" si="10"/>
        <v>0</v>
      </c>
      <c r="AC7" s="360"/>
      <c r="AD7" s="354"/>
      <c r="BD7" s="354"/>
    </row>
    <row r="8" spans="1:56" x14ac:dyDescent="0.25">
      <c r="A8" s="347"/>
      <c r="B8" s="351" t="s">
        <v>131</v>
      </c>
      <c r="C8" s="351" t="s">
        <v>190</v>
      </c>
      <c r="D8" s="352">
        <f>'FTE cost calcs'!E27</f>
        <v>61710</v>
      </c>
      <c r="E8" s="100"/>
      <c r="F8" s="364">
        <f t="shared" si="11"/>
        <v>0</v>
      </c>
      <c r="G8" s="100">
        <f t="shared" si="12"/>
        <v>0</v>
      </c>
      <c r="H8" s="364">
        <f t="shared" si="11"/>
        <v>0</v>
      </c>
      <c r="I8" s="100">
        <f t="shared" si="0"/>
        <v>0</v>
      </c>
      <c r="J8" s="364">
        <f t="shared" si="11"/>
        <v>0</v>
      </c>
      <c r="K8" s="353">
        <v>1</v>
      </c>
      <c r="L8" s="359">
        <f t="shared" si="13"/>
        <v>5142.5</v>
      </c>
      <c r="M8" s="353">
        <f t="shared" si="20"/>
        <v>1</v>
      </c>
      <c r="N8" s="359">
        <f t="shared" si="15"/>
        <v>5142.5</v>
      </c>
      <c r="O8" s="353">
        <f t="shared" si="19"/>
        <v>1</v>
      </c>
      <c r="P8" s="359">
        <f t="shared" si="16"/>
        <v>5142.5</v>
      </c>
      <c r="Q8" s="353">
        <f t="shared" si="17"/>
        <v>1</v>
      </c>
      <c r="R8" s="359">
        <f t="shared" si="18"/>
        <v>5142.5</v>
      </c>
      <c r="S8" s="353">
        <f t="shared" si="2"/>
        <v>1</v>
      </c>
      <c r="T8" s="359">
        <f t="shared" si="3"/>
        <v>5142.5</v>
      </c>
      <c r="U8" s="353">
        <f t="shared" si="4"/>
        <v>1</v>
      </c>
      <c r="V8" s="359">
        <f t="shared" si="5"/>
        <v>5142.5</v>
      </c>
      <c r="W8" s="353">
        <f t="shared" si="6"/>
        <v>1</v>
      </c>
      <c r="X8" s="359">
        <f t="shared" si="7"/>
        <v>5142.5</v>
      </c>
      <c r="Z8" s="359">
        <f t="shared" si="8"/>
        <v>0</v>
      </c>
      <c r="AA8" s="353">
        <f t="shared" si="9"/>
        <v>0</v>
      </c>
      <c r="AB8" s="359">
        <f t="shared" si="10"/>
        <v>0</v>
      </c>
      <c r="AC8" s="360"/>
      <c r="AD8" s="354"/>
      <c r="BD8" s="354"/>
    </row>
    <row r="9" spans="1:56" x14ac:dyDescent="0.25">
      <c r="A9" s="347"/>
      <c r="B9" s="351" t="s">
        <v>189</v>
      </c>
      <c r="C9" s="351"/>
      <c r="D9" s="352">
        <f>'FTE cost calcs'!B32</f>
        <v>0</v>
      </c>
      <c r="E9" s="100"/>
      <c r="F9" s="364">
        <f t="shared" si="11"/>
        <v>0</v>
      </c>
      <c r="G9" s="100">
        <f t="shared" si="12"/>
        <v>0</v>
      </c>
      <c r="H9" s="364">
        <f t="shared" si="11"/>
        <v>0</v>
      </c>
      <c r="I9" s="100">
        <f t="shared" si="0"/>
        <v>0</v>
      </c>
      <c r="J9" s="364">
        <f t="shared" si="11"/>
        <v>0</v>
      </c>
      <c r="L9" s="359">
        <f t="shared" si="13"/>
        <v>0</v>
      </c>
      <c r="M9" s="353">
        <f t="shared" si="20"/>
        <v>0</v>
      </c>
      <c r="N9" s="359">
        <f t="shared" si="15"/>
        <v>0</v>
      </c>
      <c r="O9" s="353">
        <f t="shared" si="19"/>
        <v>0</v>
      </c>
      <c r="P9" s="359">
        <f t="shared" si="16"/>
        <v>0</v>
      </c>
      <c r="Q9" s="353">
        <f t="shared" si="17"/>
        <v>0</v>
      </c>
      <c r="R9" s="359">
        <f t="shared" si="18"/>
        <v>0</v>
      </c>
      <c r="S9" s="353">
        <f t="shared" si="2"/>
        <v>0</v>
      </c>
      <c r="T9" s="359">
        <f t="shared" si="3"/>
        <v>0</v>
      </c>
      <c r="U9" s="353">
        <f t="shared" si="4"/>
        <v>0</v>
      </c>
      <c r="V9" s="359">
        <f t="shared" si="5"/>
        <v>0</v>
      </c>
      <c r="W9" s="353">
        <f t="shared" si="6"/>
        <v>0</v>
      </c>
      <c r="X9" s="359">
        <f t="shared" si="7"/>
        <v>0</v>
      </c>
      <c r="Z9" s="359">
        <f t="shared" si="8"/>
        <v>0</v>
      </c>
      <c r="AA9" s="353">
        <f t="shared" si="9"/>
        <v>0</v>
      </c>
      <c r="AB9" s="359">
        <f t="shared" si="10"/>
        <v>0</v>
      </c>
      <c r="AC9" s="360"/>
      <c r="AD9" s="354"/>
      <c r="BD9" s="354"/>
    </row>
    <row r="10" spans="1:56" ht="15.75" thickBot="1" x14ac:dyDescent="0.3">
      <c r="A10" s="347"/>
      <c r="B10" s="351"/>
      <c r="C10" s="351"/>
      <c r="D10" s="352"/>
      <c r="E10" s="100"/>
      <c r="F10" s="364">
        <f t="shared" si="11"/>
        <v>0</v>
      </c>
      <c r="G10" s="100">
        <f t="shared" si="12"/>
        <v>0</v>
      </c>
      <c r="H10" s="364">
        <f t="shared" si="11"/>
        <v>0</v>
      </c>
      <c r="I10" s="100">
        <f t="shared" si="0"/>
        <v>0</v>
      </c>
      <c r="J10" s="364">
        <f t="shared" si="11"/>
        <v>0</v>
      </c>
      <c r="L10" s="359">
        <f t="shared" si="13"/>
        <v>0</v>
      </c>
      <c r="M10" s="353">
        <f t="shared" si="20"/>
        <v>0</v>
      </c>
      <c r="N10" s="359">
        <f t="shared" si="15"/>
        <v>0</v>
      </c>
      <c r="O10" s="353">
        <f t="shared" si="19"/>
        <v>0</v>
      </c>
      <c r="P10" s="359">
        <f t="shared" si="16"/>
        <v>0</v>
      </c>
      <c r="Q10" s="353">
        <f t="shared" si="17"/>
        <v>0</v>
      </c>
      <c r="R10" s="359">
        <f t="shared" si="18"/>
        <v>0</v>
      </c>
      <c r="S10" s="353">
        <f t="shared" si="2"/>
        <v>0</v>
      </c>
      <c r="T10" s="359">
        <f t="shared" si="3"/>
        <v>0</v>
      </c>
      <c r="U10" s="353">
        <f t="shared" si="4"/>
        <v>0</v>
      </c>
      <c r="V10" s="359">
        <f t="shared" si="5"/>
        <v>0</v>
      </c>
      <c r="W10" s="353">
        <f t="shared" si="6"/>
        <v>0</v>
      </c>
      <c r="X10" s="359">
        <f t="shared" si="7"/>
        <v>0</v>
      </c>
      <c r="Z10" s="359">
        <f t="shared" si="8"/>
        <v>0</v>
      </c>
      <c r="AA10" s="353">
        <f t="shared" si="9"/>
        <v>0</v>
      </c>
      <c r="AB10" s="359">
        <f t="shared" si="10"/>
        <v>0</v>
      </c>
      <c r="AC10" s="360"/>
      <c r="AD10" s="354"/>
      <c r="BD10" s="354"/>
    </row>
    <row r="11" spans="1:56" ht="15.75" thickBot="1" x14ac:dyDescent="0.3">
      <c r="A11" s="347"/>
      <c r="B11" s="65" t="s">
        <v>12</v>
      </c>
      <c r="C11" s="65"/>
      <c r="D11" s="188"/>
      <c r="E11" s="374">
        <f t="shared" ref="E11:AB11" si="21">SUM(E4:E10)</f>
        <v>0</v>
      </c>
      <c r="F11" s="375">
        <f t="shared" si="21"/>
        <v>0</v>
      </c>
      <c r="G11" s="374">
        <f t="shared" si="21"/>
        <v>0</v>
      </c>
      <c r="H11" s="375">
        <f t="shared" si="21"/>
        <v>0</v>
      </c>
      <c r="I11" s="374">
        <f t="shared" si="21"/>
        <v>0</v>
      </c>
      <c r="J11" s="375">
        <f t="shared" si="21"/>
        <v>0</v>
      </c>
      <c r="K11" s="189">
        <f t="shared" ref="K11:AA11" si="22">SUM(K4:K10)</f>
        <v>3</v>
      </c>
      <c r="L11" s="357">
        <f t="shared" si="22"/>
        <v>21972.5</v>
      </c>
      <c r="M11" s="189">
        <f t="shared" si="22"/>
        <v>4</v>
      </c>
      <c r="N11" s="357">
        <f t="shared" si="22"/>
        <v>27115</v>
      </c>
      <c r="O11" s="189">
        <f t="shared" si="22"/>
        <v>5</v>
      </c>
      <c r="P11" s="357">
        <f t="shared" si="22"/>
        <v>32257.5</v>
      </c>
      <c r="Q11" s="189">
        <f t="shared" si="22"/>
        <v>5</v>
      </c>
      <c r="R11" s="357">
        <f t="shared" si="22"/>
        <v>32257.5</v>
      </c>
      <c r="S11" s="189">
        <f t="shared" si="22"/>
        <v>5</v>
      </c>
      <c r="T11" s="357">
        <f t="shared" si="22"/>
        <v>32257.5</v>
      </c>
      <c r="U11" s="189">
        <f t="shared" si="22"/>
        <v>5</v>
      </c>
      <c r="V11" s="357">
        <f t="shared" si="22"/>
        <v>32257.5</v>
      </c>
      <c r="W11" s="189">
        <f t="shared" si="22"/>
        <v>5</v>
      </c>
      <c r="X11" s="357">
        <f t="shared" si="22"/>
        <v>32257.5</v>
      </c>
      <c r="Y11" s="189">
        <f t="shared" si="22"/>
        <v>0</v>
      </c>
      <c r="Z11" s="357">
        <f t="shared" si="22"/>
        <v>0</v>
      </c>
      <c r="AA11" s="189">
        <f t="shared" si="22"/>
        <v>0</v>
      </c>
      <c r="AB11" s="357">
        <f t="shared" si="21"/>
        <v>0</v>
      </c>
      <c r="AC11" s="358">
        <f>H49+F49+AB11+V11+T11+R11+P11+N11+L11+J11+H11+F11+Z11+X11</f>
        <v>210375</v>
      </c>
      <c r="AD11" s="190"/>
      <c r="BD11" s="190"/>
    </row>
    <row r="12" spans="1:56" ht="4.3499999999999996" customHeight="1" x14ac:dyDescent="0.25">
      <c r="A12" s="347"/>
      <c r="B12" s="351"/>
      <c r="C12" s="351"/>
      <c r="D12" s="352"/>
      <c r="E12" s="100"/>
      <c r="F12" s="364"/>
      <c r="G12" s="100"/>
      <c r="H12" s="364"/>
      <c r="I12" s="100"/>
      <c r="J12" s="364"/>
      <c r="L12" s="359"/>
      <c r="N12" s="359"/>
      <c r="P12" s="359"/>
      <c r="R12" s="359"/>
      <c r="T12" s="359"/>
      <c r="V12" s="359"/>
      <c r="X12" s="359"/>
      <c r="Z12" s="359"/>
      <c r="AB12" s="359"/>
      <c r="AC12" s="360"/>
      <c r="AD12" s="354"/>
      <c r="BD12" s="354"/>
    </row>
    <row r="13" spans="1:56" x14ac:dyDescent="0.25">
      <c r="A13" s="347"/>
      <c r="B13" s="356" t="s">
        <v>217</v>
      </c>
      <c r="C13" s="356"/>
      <c r="D13" s="352">
        <v>2000</v>
      </c>
      <c r="E13" s="100"/>
      <c r="F13" s="371"/>
      <c r="G13" s="100"/>
      <c r="H13" s="371"/>
      <c r="I13" s="100"/>
      <c r="J13" s="371"/>
      <c r="L13" s="209">
        <f>($D13)</f>
        <v>2000</v>
      </c>
      <c r="N13" s="209">
        <f>($D13)</f>
        <v>2000</v>
      </c>
      <c r="P13" s="209">
        <f>($D13)</f>
        <v>2000</v>
      </c>
      <c r="R13" s="209">
        <f>($D13)</f>
        <v>2000</v>
      </c>
      <c r="T13" s="209">
        <f>($D13)</f>
        <v>2000</v>
      </c>
      <c r="V13" s="209">
        <f>($D13)</f>
        <v>2000</v>
      </c>
      <c r="X13" s="209">
        <f>($D13)</f>
        <v>2000</v>
      </c>
      <c r="Z13" s="209"/>
      <c r="AB13" s="209"/>
      <c r="AC13" s="360"/>
      <c r="AD13" s="354"/>
      <c r="BD13" s="354"/>
    </row>
    <row r="14" spans="1:56" x14ac:dyDescent="0.25">
      <c r="A14" s="347"/>
      <c r="B14" s="249" t="s">
        <v>25</v>
      </c>
      <c r="C14" s="249"/>
      <c r="D14" s="352">
        <v>100</v>
      </c>
      <c r="E14" s="100"/>
      <c r="F14" s="371"/>
      <c r="G14" s="100"/>
      <c r="H14" s="371"/>
      <c r="I14" s="100"/>
      <c r="J14" s="371"/>
      <c r="L14" s="209">
        <f>($D14)</f>
        <v>100</v>
      </c>
      <c r="N14" s="209">
        <f>($D14)</f>
        <v>100</v>
      </c>
      <c r="P14" s="209">
        <f>($D14)</f>
        <v>100</v>
      </c>
      <c r="R14" s="209">
        <f>($D14)</f>
        <v>100</v>
      </c>
      <c r="T14" s="209">
        <f>($D14)</f>
        <v>100</v>
      </c>
      <c r="V14" s="209">
        <f>($D14)</f>
        <v>100</v>
      </c>
      <c r="X14" s="209">
        <f>($D14)</f>
        <v>100</v>
      </c>
      <c r="Z14" s="209"/>
      <c r="AB14" s="209"/>
      <c r="AC14" s="360"/>
      <c r="AD14" s="354"/>
      <c r="BD14" s="354"/>
    </row>
    <row r="15" spans="1:56" x14ac:dyDescent="0.25">
      <c r="A15" s="347"/>
      <c r="B15" s="356" t="s">
        <v>11</v>
      </c>
      <c r="C15" s="356"/>
      <c r="D15" s="352">
        <v>50</v>
      </c>
      <c r="E15" s="100"/>
      <c r="F15" s="371"/>
      <c r="G15" s="100"/>
      <c r="H15" s="371"/>
      <c r="I15" s="100"/>
      <c r="J15" s="371"/>
      <c r="L15" s="209">
        <f t="shared" ref="L15:L18" si="23">($D15*K$11)</f>
        <v>150</v>
      </c>
      <c r="N15" s="209">
        <f t="shared" ref="N15" si="24">($D15*M$11)</f>
        <v>200</v>
      </c>
      <c r="P15" s="209">
        <f t="shared" ref="P15" si="25">($D15*O$11)</f>
        <v>250</v>
      </c>
      <c r="R15" s="209">
        <f t="shared" ref="R15" si="26">($D15*Q$11)</f>
        <v>250</v>
      </c>
      <c r="T15" s="209">
        <f t="shared" ref="T15" si="27">($D15*S$11)</f>
        <v>250</v>
      </c>
      <c r="V15" s="209">
        <f t="shared" ref="V15" si="28">($D15*U$11)</f>
        <v>250</v>
      </c>
      <c r="X15" s="209">
        <f t="shared" ref="X15" si="29">($D15*W$11)</f>
        <v>250</v>
      </c>
      <c r="Z15" s="209"/>
      <c r="AB15" s="209"/>
      <c r="AC15" s="360"/>
      <c r="AD15" s="354"/>
      <c r="BD15" s="354"/>
    </row>
    <row r="16" spans="1:56" x14ac:dyDescent="0.25">
      <c r="A16" s="347"/>
      <c r="B16" s="356" t="s">
        <v>19</v>
      </c>
      <c r="C16" s="356"/>
      <c r="D16" s="352">
        <v>180</v>
      </c>
      <c r="E16" s="100"/>
      <c r="F16" s="371"/>
      <c r="G16" s="100"/>
      <c r="H16" s="371"/>
      <c r="I16" s="100"/>
      <c r="J16" s="371"/>
      <c r="L16" s="209">
        <f>($D16)</f>
        <v>180</v>
      </c>
      <c r="N16" s="209">
        <f>($D16)</f>
        <v>180</v>
      </c>
      <c r="P16" s="209">
        <f>($D16)</f>
        <v>180</v>
      </c>
      <c r="R16" s="209">
        <f>($D16)</f>
        <v>180</v>
      </c>
      <c r="T16" s="209">
        <f>($D16)</f>
        <v>180</v>
      </c>
      <c r="V16" s="209">
        <f>($D16)</f>
        <v>180</v>
      </c>
      <c r="X16" s="209">
        <f>($D16)</f>
        <v>180</v>
      </c>
      <c r="Z16" s="209"/>
      <c r="AB16" s="209"/>
      <c r="AC16" s="360"/>
      <c r="AD16" s="354"/>
      <c r="BD16" s="354"/>
    </row>
    <row r="17" spans="1:56" x14ac:dyDescent="0.25">
      <c r="A17" s="347"/>
      <c r="B17" s="356" t="s">
        <v>21</v>
      </c>
      <c r="C17" s="356"/>
      <c r="D17" s="352">
        <v>250</v>
      </c>
      <c r="E17" s="100"/>
      <c r="F17" s="371"/>
      <c r="G17" s="100"/>
      <c r="H17" s="371"/>
      <c r="I17" s="100"/>
      <c r="J17" s="371"/>
      <c r="L17" s="209">
        <f>($D17)</f>
        <v>250</v>
      </c>
      <c r="N17" s="209">
        <f>($D17)</f>
        <v>250</v>
      </c>
      <c r="P17" s="209">
        <f>($D17)</f>
        <v>250</v>
      </c>
      <c r="R17" s="209">
        <f>($D17)</f>
        <v>250</v>
      </c>
      <c r="T17" s="209">
        <f>($D17)</f>
        <v>250</v>
      </c>
      <c r="V17" s="209">
        <f>($D17)</f>
        <v>250</v>
      </c>
      <c r="X17" s="209">
        <f>($D17)</f>
        <v>250</v>
      </c>
      <c r="Z17" s="209"/>
      <c r="AB17" s="209"/>
      <c r="AC17" s="360"/>
      <c r="AD17" s="354"/>
      <c r="BD17" s="354"/>
    </row>
    <row r="18" spans="1:56" ht="15.75" thickBot="1" x14ac:dyDescent="0.3">
      <c r="A18" s="347"/>
      <c r="B18" s="250" t="s">
        <v>27</v>
      </c>
      <c r="C18" s="249"/>
      <c r="D18" s="352">
        <v>50</v>
      </c>
      <c r="E18" s="100"/>
      <c r="F18" s="371">
        <f t="shared" ref="F15:F18" si="30">($D18*E$11)</f>
        <v>0</v>
      </c>
      <c r="G18" s="100"/>
      <c r="H18" s="371">
        <f t="shared" ref="H18" si="31">($D18*G$11)</f>
        <v>0</v>
      </c>
      <c r="I18" s="100"/>
      <c r="J18" s="371">
        <f t="shared" ref="J18" si="32">($D18*I$11)</f>
        <v>0</v>
      </c>
      <c r="L18" s="209">
        <f t="shared" si="23"/>
        <v>150</v>
      </c>
      <c r="N18" s="209">
        <f t="shared" ref="N18" si="33">($D18*M$11)</f>
        <v>200</v>
      </c>
      <c r="P18" s="209">
        <f t="shared" ref="P18" si="34">($D18*O$11)</f>
        <v>250</v>
      </c>
      <c r="R18" s="209">
        <f t="shared" ref="R18" si="35">($D18*Q$11)</f>
        <v>250</v>
      </c>
      <c r="T18" s="209">
        <f t="shared" ref="T18" si="36">($D18*S$11)</f>
        <v>250</v>
      </c>
      <c r="V18" s="209">
        <f t="shared" ref="V18" si="37">($D18*U$11)</f>
        <v>250</v>
      </c>
      <c r="X18" s="209">
        <f t="shared" ref="X18" si="38">($D18*W$11)</f>
        <v>250</v>
      </c>
      <c r="Z18" s="209"/>
      <c r="AB18" s="209"/>
      <c r="AC18" s="360"/>
      <c r="AD18" s="354"/>
      <c r="BD18" s="354"/>
    </row>
    <row r="19" spans="1:56" ht="15.75" thickBot="1" x14ac:dyDescent="0.3">
      <c r="A19" s="347"/>
      <c r="B19" s="248" t="s">
        <v>12</v>
      </c>
      <c r="C19" s="248"/>
      <c r="D19" s="188"/>
      <c r="E19" s="376"/>
      <c r="F19" s="377">
        <f>SUM(F12:F18)</f>
        <v>0</v>
      </c>
      <c r="G19" s="378"/>
      <c r="H19" s="377">
        <f>SUM(H12:H18)</f>
        <v>0</v>
      </c>
      <c r="I19" s="378"/>
      <c r="J19" s="377">
        <f>SUM(J12:J18)</f>
        <v>0</v>
      </c>
      <c r="K19" s="17"/>
      <c r="L19" s="361">
        <f>SUM(L12:L18)</f>
        <v>2830</v>
      </c>
      <c r="M19" s="362"/>
      <c r="N19" s="361">
        <f>SUM(N12:N18)</f>
        <v>2930</v>
      </c>
      <c r="O19" s="362"/>
      <c r="P19" s="361">
        <f>SUM(P12:P18)</f>
        <v>3030</v>
      </c>
      <c r="Q19" s="362"/>
      <c r="R19" s="361">
        <f>SUM(R12:R18)</f>
        <v>3030</v>
      </c>
      <c r="S19" s="362"/>
      <c r="T19" s="361">
        <f>SUM(T12:T18)</f>
        <v>3030</v>
      </c>
      <c r="U19" s="362"/>
      <c r="V19" s="361">
        <f>SUM(V12:V18)</f>
        <v>3030</v>
      </c>
      <c r="W19" s="362"/>
      <c r="X19" s="361">
        <f>SUM(X12:X18)</f>
        <v>3030</v>
      </c>
      <c r="Y19" s="362"/>
      <c r="Z19" s="361">
        <f>SUM(Z12:Z18)</f>
        <v>0</v>
      </c>
      <c r="AA19" s="362"/>
      <c r="AB19" s="361">
        <f>SUM(AB12:AB18)</f>
        <v>0</v>
      </c>
      <c r="AC19" s="358">
        <f>H57+F57+AB19+V19+T19+R19+P19+N19+L19+J19+H19+F19+Z19+X19</f>
        <v>20910</v>
      </c>
      <c r="AD19" s="354"/>
      <c r="BD19" s="354"/>
    </row>
    <row r="20" spans="1:56" ht="4.3499999999999996" customHeight="1" x14ac:dyDescent="0.25">
      <c r="A20" s="347"/>
      <c r="B20" s="351"/>
      <c r="C20" s="351"/>
      <c r="D20" s="352"/>
      <c r="E20" s="100"/>
      <c r="F20" s="364"/>
      <c r="G20" s="100"/>
      <c r="H20" s="364"/>
      <c r="I20" s="100"/>
      <c r="J20" s="364"/>
      <c r="L20" s="359"/>
      <c r="N20" s="359"/>
      <c r="P20" s="359"/>
      <c r="R20" s="359"/>
      <c r="T20" s="359"/>
      <c r="V20" s="359"/>
      <c r="X20" s="359"/>
      <c r="Z20" s="359"/>
      <c r="AB20" s="359"/>
      <c r="AC20" s="360"/>
      <c r="AD20" s="354"/>
      <c r="BD20" s="354"/>
    </row>
    <row r="21" spans="1:56" x14ac:dyDescent="0.25">
      <c r="A21" s="347"/>
      <c r="B21" s="366" t="s">
        <v>20</v>
      </c>
      <c r="C21" s="367"/>
      <c r="D21" s="352"/>
      <c r="E21" s="100"/>
      <c r="F21" s="371">
        <f>E21*$D21</f>
        <v>0</v>
      </c>
      <c r="G21" s="100"/>
      <c r="H21" s="371">
        <f>G21*$D21</f>
        <v>0</v>
      </c>
      <c r="I21" s="100"/>
      <c r="J21" s="371">
        <f>I21*$D21</f>
        <v>0</v>
      </c>
      <c r="L21" s="209">
        <f>K21*$D21</f>
        <v>0</v>
      </c>
      <c r="N21" s="209">
        <f>M21*$D21</f>
        <v>0</v>
      </c>
      <c r="P21" s="209">
        <f>O21*$D21</f>
        <v>0</v>
      </c>
      <c r="R21" s="209">
        <f>Q21*$D21</f>
        <v>0</v>
      </c>
      <c r="T21" s="209">
        <f>S21*$D21</f>
        <v>0</v>
      </c>
      <c r="V21" s="209">
        <f>U21*$D21</f>
        <v>0</v>
      </c>
      <c r="X21" s="209">
        <f>W21*$D21</f>
        <v>0</v>
      </c>
      <c r="Z21" s="209"/>
      <c r="AB21" s="209"/>
      <c r="AC21" s="360"/>
      <c r="AD21" s="354"/>
      <c r="BD21" s="354"/>
    </row>
    <row r="22" spans="1:56" x14ac:dyDescent="0.25">
      <c r="A22" s="347"/>
      <c r="B22" s="366" t="s">
        <v>26</v>
      </c>
      <c r="C22" s="367"/>
      <c r="D22" s="352">
        <v>2000</v>
      </c>
      <c r="E22" s="100"/>
      <c r="F22" s="371">
        <f t="shared" ref="F22:H27" si="39">E22*$D22</f>
        <v>0</v>
      </c>
      <c r="G22" s="100"/>
      <c r="H22" s="371">
        <f t="shared" si="39"/>
        <v>0</v>
      </c>
      <c r="I22" s="100"/>
      <c r="J22" s="371">
        <f t="shared" ref="J22" si="40">I22*$D22</f>
        <v>0</v>
      </c>
      <c r="K22" s="353">
        <v>1</v>
      </c>
      <c r="L22" s="209">
        <f t="shared" ref="L22:N22" si="41">K22*$D22</f>
        <v>2000</v>
      </c>
      <c r="M22" s="353">
        <v>1</v>
      </c>
      <c r="N22" s="209">
        <f t="shared" ref="N22:P22" si="42">M22*$D22</f>
        <v>2000</v>
      </c>
      <c r="O22" s="353">
        <v>1</v>
      </c>
      <c r="P22" s="209">
        <f t="shared" ref="P22:P27" si="43">O22*$D22</f>
        <v>2000</v>
      </c>
      <c r="Q22" s="353">
        <v>1</v>
      </c>
      <c r="R22" s="209">
        <f t="shared" ref="R22:R27" si="44">Q22*$D22</f>
        <v>2000</v>
      </c>
      <c r="S22" s="353">
        <v>1</v>
      </c>
      <c r="T22" s="209">
        <f t="shared" ref="T22:T27" si="45">S22*$D22</f>
        <v>2000</v>
      </c>
      <c r="U22" s="353">
        <v>1</v>
      </c>
      <c r="V22" s="209">
        <f t="shared" ref="V22:X22" si="46">U22*$D22</f>
        <v>2000</v>
      </c>
      <c r="W22" s="353">
        <v>1</v>
      </c>
      <c r="X22" s="209">
        <f t="shared" ref="X22:Z22" si="47">W22*$D22</f>
        <v>2000</v>
      </c>
      <c r="Z22" s="209"/>
      <c r="AB22" s="209"/>
      <c r="AC22" s="360"/>
      <c r="AD22" s="354"/>
      <c r="BD22" s="354"/>
    </row>
    <row r="23" spans="1:56" x14ac:dyDescent="0.25">
      <c r="A23" s="347"/>
      <c r="B23" s="366" t="s">
        <v>22</v>
      </c>
      <c r="C23" s="367"/>
      <c r="D23" s="352">
        <v>1000</v>
      </c>
      <c r="E23" s="100"/>
      <c r="F23" s="371">
        <f t="shared" si="39"/>
        <v>0</v>
      </c>
      <c r="G23" s="100"/>
      <c r="H23" s="371">
        <f t="shared" si="39"/>
        <v>0</v>
      </c>
      <c r="I23" s="100"/>
      <c r="J23" s="371">
        <f t="shared" ref="J23" si="48">I23*$D23</f>
        <v>0</v>
      </c>
      <c r="K23" s="353">
        <v>1</v>
      </c>
      <c r="L23" s="209">
        <f t="shared" ref="L23:N23" si="49">K23*$D23</f>
        <v>1000</v>
      </c>
      <c r="M23" s="353">
        <v>1</v>
      </c>
      <c r="N23" s="209">
        <f t="shared" ref="N23:P23" si="50">M23*$D23</f>
        <v>1000</v>
      </c>
      <c r="O23" s="353">
        <v>1</v>
      </c>
      <c r="P23" s="209">
        <f t="shared" si="43"/>
        <v>1000</v>
      </c>
      <c r="Q23" s="353">
        <v>1</v>
      </c>
      <c r="R23" s="209">
        <f t="shared" si="44"/>
        <v>1000</v>
      </c>
      <c r="S23" s="353">
        <v>1</v>
      </c>
      <c r="T23" s="209">
        <f t="shared" si="45"/>
        <v>1000</v>
      </c>
      <c r="U23" s="353">
        <v>1</v>
      </c>
      <c r="V23" s="209">
        <f t="shared" ref="V23:X23" si="51">U23*$D23</f>
        <v>1000</v>
      </c>
      <c r="W23" s="353">
        <v>1</v>
      </c>
      <c r="X23" s="209">
        <f t="shared" ref="X23:Z23" si="52">W23*$D23</f>
        <v>1000</v>
      </c>
      <c r="Z23" s="209"/>
      <c r="AB23" s="209"/>
      <c r="AC23" s="360"/>
      <c r="AD23" s="354"/>
      <c r="BD23" s="354"/>
    </row>
    <row r="24" spans="1:56" x14ac:dyDescent="0.25">
      <c r="A24" s="347"/>
      <c r="B24" s="366" t="s">
        <v>23</v>
      </c>
      <c r="C24" s="367"/>
      <c r="D24" s="352"/>
      <c r="E24" s="100"/>
      <c r="F24" s="371">
        <f t="shared" si="39"/>
        <v>0</v>
      </c>
      <c r="G24" s="100"/>
      <c r="H24" s="371">
        <f t="shared" si="39"/>
        <v>0</v>
      </c>
      <c r="I24" s="100"/>
      <c r="J24" s="371">
        <f t="shared" ref="J24" si="53">I24*$D24</f>
        <v>0</v>
      </c>
      <c r="K24" s="353">
        <v>1</v>
      </c>
      <c r="L24" s="209">
        <f t="shared" ref="L24:N24" si="54">K24*$D24</f>
        <v>0</v>
      </c>
      <c r="M24" s="353">
        <v>1</v>
      </c>
      <c r="N24" s="209">
        <f t="shared" ref="N24:P24" si="55">M24*$D24</f>
        <v>0</v>
      </c>
      <c r="O24" s="353">
        <v>1</v>
      </c>
      <c r="P24" s="209">
        <f t="shared" si="43"/>
        <v>0</v>
      </c>
      <c r="Q24" s="353">
        <v>1</v>
      </c>
      <c r="R24" s="209">
        <f t="shared" si="44"/>
        <v>0</v>
      </c>
      <c r="S24" s="353">
        <v>1</v>
      </c>
      <c r="T24" s="209">
        <f t="shared" si="45"/>
        <v>0</v>
      </c>
      <c r="U24" s="353">
        <v>1</v>
      </c>
      <c r="V24" s="209">
        <f t="shared" ref="V24:X24" si="56">U24*$D24</f>
        <v>0</v>
      </c>
      <c r="W24" s="353">
        <v>1</v>
      </c>
      <c r="X24" s="209">
        <f t="shared" ref="X24:Z24" si="57">W24*$D24</f>
        <v>0</v>
      </c>
      <c r="Z24" s="209"/>
      <c r="AB24" s="209"/>
      <c r="AC24" s="360"/>
      <c r="AD24" s="354"/>
      <c r="BD24" s="354"/>
    </row>
    <row r="25" spans="1:56" x14ac:dyDescent="0.25">
      <c r="A25" s="347"/>
      <c r="B25" s="366" t="s">
        <v>24</v>
      </c>
      <c r="C25" s="367"/>
      <c r="D25" s="352">
        <v>60</v>
      </c>
      <c r="E25" s="100"/>
      <c r="F25" s="371">
        <f t="shared" si="39"/>
        <v>0</v>
      </c>
      <c r="G25" s="100"/>
      <c r="H25" s="371">
        <f t="shared" si="39"/>
        <v>0</v>
      </c>
      <c r="I25" s="100"/>
      <c r="J25" s="371">
        <f t="shared" ref="J25" si="58">I25*$D25</f>
        <v>0</v>
      </c>
      <c r="K25" s="353">
        <v>1</v>
      </c>
      <c r="L25" s="209">
        <f t="shared" ref="L25:N25" si="59">K25*$D25</f>
        <v>60</v>
      </c>
      <c r="M25" s="353">
        <v>1</v>
      </c>
      <c r="N25" s="209">
        <f t="shared" ref="N25:P25" si="60">M25*$D25</f>
        <v>60</v>
      </c>
      <c r="O25" s="353">
        <v>1</v>
      </c>
      <c r="P25" s="209">
        <f t="shared" si="43"/>
        <v>60</v>
      </c>
      <c r="Q25" s="353">
        <v>1</v>
      </c>
      <c r="R25" s="209">
        <f t="shared" si="44"/>
        <v>60</v>
      </c>
      <c r="S25" s="353">
        <v>1</v>
      </c>
      <c r="T25" s="209">
        <f t="shared" si="45"/>
        <v>60</v>
      </c>
      <c r="U25" s="353">
        <v>1</v>
      </c>
      <c r="V25" s="209">
        <f t="shared" ref="V25:X25" si="61">U25*$D25</f>
        <v>60</v>
      </c>
      <c r="W25" s="353">
        <v>1</v>
      </c>
      <c r="X25" s="209">
        <f t="shared" ref="X25:Z25" si="62">W25*$D25</f>
        <v>60</v>
      </c>
      <c r="Z25" s="209"/>
      <c r="AB25" s="209"/>
      <c r="AC25" s="360"/>
      <c r="AD25" s="354"/>
      <c r="BD25" s="354"/>
    </row>
    <row r="26" spans="1:56" x14ac:dyDescent="0.25">
      <c r="A26" s="347"/>
      <c r="B26" s="366" t="s">
        <v>29</v>
      </c>
      <c r="C26" s="367"/>
      <c r="D26" s="352">
        <v>500</v>
      </c>
      <c r="E26" s="100"/>
      <c r="F26" s="371">
        <f t="shared" si="39"/>
        <v>0</v>
      </c>
      <c r="G26" s="100"/>
      <c r="H26" s="371">
        <f t="shared" si="39"/>
        <v>0</v>
      </c>
      <c r="I26" s="100"/>
      <c r="J26" s="371">
        <f t="shared" ref="J26" si="63">I26*$D26</f>
        <v>0</v>
      </c>
      <c r="K26" s="353">
        <v>1</v>
      </c>
      <c r="L26" s="209">
        <f t="shared" ref="L26:N26" si="64">K26*$D26</f>
        <v>500</v>
      </c>
      <c r="M26" s="353">
        <v>1</v>
      </c>
      <c r="N26" s="209">
        <f t="shared" ref="N26:P26" si="65">M26*$D26</f>
        <v>500</v>
      </c>
      <c r="O26" s="353">
        <v>1</v>
      </c>
      <c r="P26" s="209">
        <f t="shared" si="43"/>
        <v>500</v>
      </c>
      <c r="Q26" s="353">
        <v>1</v>
      </c>
      <c r="R26" s="209">
        <f t="shared" si="44"/>
        <v>500</v>
      </c>
      <c r="S26" s="353">
        <v>1</v>
      </c>
      <c r="T26" s="209">
        <f t="shared" si="45"/>
        <v>500</v>
      </c>
      <c r="U26" s="353">
        <v>1</v>
      </c>
      <c r="V26" s="209">
        <f t="shared" ref="V26:X26" si="66">U26*$D26</f>
        <v>500</v>
      </c>
      <c r="W26" s="353">
        <v>1</v>
      </c>
      <c r="X26" s="209">
        <f t="shared" ref="X26:Z26" si="67">W26*$D26</f>
        <v>500</v>
      </c>
      <c r="Z26" s="209"/>
      <c r="AB26" s="209"/>
      <c r="AC26" s="360"/>
      <c r="AD26" s="354"/>
      <c r="BD26" s="354"/>
    </row>
    <row r="27" spans="1:56" x14ac:dyDescent="0.25">
      <c r="A27" s="347"/>
      <c r="B27" s="366" t="s">
        <v>28</v>
      </c>
      <c r="C27" s="367"/>
      <c r="D27" s="352">
        <v>100</v>
      </c>
      <c r="E27" s="100"/>
      <c r="F27" s="371">
        <f t="shared" si="39"/>
        <v>0</v>
      </c>
      <c r="G27" s="100"/>
      <c r="H27" s="371">
        <f t="shared" si="39"/>
        <v>0</v>
      </c>
      <c r="I27" s="100"/>
      <c r="J27" s="371">
        <f t="shared" ref="J27" si="68">I27*$D27</f>
        <v>0</v>
      </c>
      <c r="K27" s="353">
        <v>1</v>
      </c>
      <c r="L27" s="209">
        <f t="shared" ref="L27:N27" si="69">K27*$D27</f>
        <v>100</v>
      </c>
      <c r="M27" s="353">
        <v>1</v>
      </c>
      <c r="N27" s="209">
        <f t="shared" ref="N27:P27" si="70">M27*$D27</f>
        <v>100</v>
      </c>
      <c r="O27" s="353">
        <v>1</v>
      </c>
      <c r="P27" s="209">
        <f t="shared" si="43"/>
        <v>100</v>
      </c>
      <c r="Q27" s="353">
        <v>1</v>
      </c>
      <c r="R27" s="209">
        <f t="shared" si="44"/>
        <v>100</v>
      </c>
      <c r="S27" s="353">
        <v>1</v>
      </c>
      <c r="T27" s="209">
        <f t="shared" si="45"/>
        <v>100</v>
      </c>
      <c r="U27" s="353">
        <v>1</v>
      </c>
      <c r="V27" s="209">
        <f t="shared" ref="V27:X27" si="71">U27*$D27</f>
        <v>100</v>
      </c>
      <c r="W27" s="353">
        <v>1</v>
      </c>
      <c r="X27" s="209">
        <f t="shared" ref="X27:Z27" si="72">W27*$D27</f>
        <v>100</v>
      </c>
      <c r="Z27" s="209"/>
      <c r="AB27" s="209"/>
      <c r="AC27" s="360"/>
      <c r="AD27" s="354"/>
      <c r="BD27" s="354"/>
    </row>
    <row r="28" spans="1:56" ht="15.75" thickBot="1" x14ac:dyDescent="0.3">
      <c r="A28" s="347"/>
      <c r="B28" s="249"/>
      <c r="C28" s="249"/>
      <c r="D28" s="352"/>
      <c r="E28" s="100"/>
      <c r="F28" s="371"/>
      <c r="G28" s="100"/>
      <c r="H28" s="371"/>
      <c r="I28" s="100"/>
      <c r="J28" s="371"/>
      <c r="L28" s="209"/>
      <c r="N28" s="209"/>
      <c r="P28" s="209"/>
      <c r="R28" s="209"/>
      <c r="T28" s="209"/>
      <c r="V28" s="209"/>
      <c r="X28" s="209"/>
      <c r="Z28" s="209"/>
      <c r="AB28" s="209"/>
      <c r="AC28" s="360"/>
      <c r="AD28" s="354"/>
      <c r="BD28" s="354"/>
    </row>
    <row r="29" spans="1:56" ht="15.75" thickBot="1" x14ac:dyDescent="0.3">
      <c r="A29" s="347"/>
      <c r="B29" s="65" t="s">
        <v>12</v>
      </c>
      <c r="C29" s="65"/>
      <c r="D29" s="188"/>
      <c r="E29" s="374"/>
      <c r="F29" s="375">
        <f>SUM(F21:F28)</f>
        <v>0</v>
      </c>
      <c r="G29" s="374"/>
      <c r="H29" s="375">
        <f>SUM(H21:H28)</f>
        <v>0</v>
      </c>
      <c r="I29" s="374"/>
      <c r="J29" s="375">
        <f>SUM(J21:J28)</f>
        <v>0</v>
      </c>
      <c r="K29" s="189"/>
      <c r="L29" s="357">
        <f>SUM(L21:L28)</f>
        <v>3660</v>
      </c>
      <c r="M29" s="189"/>
      <c r="N29" s="357">
        <f>SUM(N21:N28)</f>
        <v>3660</v>
      </c>
      <c r="O29" s="189"/>
      <c r="P29" s="357">
        <f>SUM(P21:P28)</f>
        <v>3660</v>
      </c>
      <c r="Q29" s="189"/>
      <c r="R29" s="357">
        <f>SUM(R21:R27)</f>
        <v>3660</v>
      </c>
      <c r="S29" s="189"/>
      <c r="T29" s="357">
        <f>SUM(T21:T27)</f>
        <v>3660</v>
      </c>
      <c r="U29" s="189"/>
      <c r="V29" s="357">
        <f>SUM(V21:V27)</f>
        <v>3660</v>
      </c>
      <c r="W29" s="189"/>
      <c r="X29" s="357">
        <f>SUM(X21:X27)</f>
        <v>3660</v>
      </c>
      <c r="Y29" s="189"/>
      <c r="Z29" s="357">
        <f>SUM(Z21:Z27)</f>
        <v>0</v>
      </c>
      <c r="AA29" s="189"/>
      <c r="AB29" s="357">
        <f>SUM(AB21:AB27)</f>
        <v>0</v>
      </c>
      <c r="AC29" s="358">
        <f>H67+F67+AB29+V29+T29+R29+P29+N29+L29+J29+H29+F29+Z29+X29</f>
        <v>25620</v>
      </c>
      <c r="AD29" s="190"/>
      <c r="BD29" s="190"/>
    </row>
    <row r="30" spans="1:56" ht="4.3499999999999996" customHeight="1" thickBot="1" x14ac:dyDescent="0.3">
      <c r="A30" s="347"/>
      <c r="B30" s="68"/>
      <c r="C30" s="68"/>
      <c r="D30" s="81"/>
      <c r="E30" s="100"/>
      <c r="F30" s="364"/>
      <c r="G30" s="100"/>
      <c r="H30" s="364"/>
      <c r="I30" s="100"/>
      <c r="J30" s="364"/>
      <c r="K30" s="4"/>
      <c r="L30" s="89"/>
      <c r="M30" s="4"/>
      <c r="N30" s="89"/>
      <c r="O30" s="4"/>
      <c r="P30" s="89"/>
      <c r="Q30" s="4"/>
      <c r="R30" s="89"/>
      <c r="S30" s="4"/>
      <c r="T30" s="89"/>
      <c r="U30" s="4"/>
      <c r="V30" s="89"/>
      <c r="W30" s="4"/>
      <c r="X30" s="89"/>
      <c r="Y30" s="4"/>
      <c r="Z30" s="89"/>
      <c r="AA30" s="4"/>
      <c r="AB30" s="89"/>
      <c r="AC30" s="363"/>
      <c r="AD30" s="75"/>
      <c r="BD30" s="75"/>
    </row>
    <row r="31" spans="1:56" ht="15.75" thickBot="1" x14ac:dyDescent="0.3">
      <c r="A31" s="347"/>
      <c r="B31" s="65" t="s">
        <v>141</v>
      </c>
      <c r="C31" s="65"/>
      <c r="D31" s="188"/>
      <c r="E31" s="374"/>
      <c r="F31" s="375">
        <f>F29+F19+F11</f>
        <v>0</v>
      </c>
      <c r="G31" s="374"/>
      <c r="H31" s="375">
        <f>H29+H19+H11</f>
        <v>0</v>
      </c>
      <c r="I31" s="374"/>
      <c r="J31" s="375">
        <f>J29+J19+J11</f>
        <v>0</v>
      </c>
      <c r="K31" s="189"/>
      <c r="L31" s="357">
        <f>L29+L19+L11</f>
        <v>28462.5</v>
      </c>
      <c r="M31" s="189"/>
      <c r="N31" s="357">
        <f>N29+N19+N11</f>
        <v>33705</v>
      </c>
      <c r="O31" s="189"/>
      <c r="P31" s="357">
        <f>P29+P19+P11</f>
        <v>38947.5</v>
      </c>
      <c r="Q31" s="189"/>
      <c r="R31" s="357">
        <f>R29+R19+R11</f>
        <v>38947.5</v>
      </c>
      <c r="S31" s="189"/>
      <c r="T31" s="357">
        <f>T29+T19+T11</f>
        <v>38947.5</v>
      </c>
      <c r="U31" s="189"/>
      <c r="V31" s="357">
        <f>V29+V19+V11</f>
        <v>38947.5</v>
      </c>
      <c r="W31" s="189"/>
      <c r="X31" s="357">
        <f>X29+X19+X11</f>
        <v>38947.5</v>
      </c>
      <c r="Y31" s="189"/>
      <c r="Z31" s="357">
        <f>Z29+Z19+Z11</f>
        <v>0</v>
      </c>
      <c r="AA31" s="189"/>
      <c r="AB31" s="357">
        <f>AB29+AB19+AB11</f>
        <v>0</v>
      </c>
      <c r="AC31" s="358">
        <f>H69+F69+AB31+V31+T31+R31+P31+N31+L31+J31+H31+F31+Z31+X31</f>
        <v>256905</v>
      </c>
      <c r="AD31" s="190"/>
      <c r="BD31" s="190"/>
    </row>
    <row r="32" spans="1:56" ht="15.75" thickBot="1" x14ac:dyDescent="0.3">
      <c r="A32" s="347"/>
      <c r="E32" s="100"/>
      <c r="F32" s="100"/>
      <c r="G32" s="100"/>
      <c r="H32" s="100"/>
      <c r="I32" s="100"/>
      <c r="J32" s="100"/>
    </row>
    <row r="33" spans="1:57" ht="15.75" thickBot="1" x14ac:dyDescent="0.3">
      <c r="A33" s="347"/>
      <c r="B33" s="65" t="s">
        <v>158</v>
      </c>
      <c r="C33" s="65"/>
      <c r="D33" s="188"/>
      <c r="E33" s="374"/>
      <c r="F33" s="375">
        <f>F31</f>
        <v>0</v>
      </c>
      <c r="G33" s="374"/>
      <c r="H33" s="375">
        <f>H31</f>
        <v>0</v>
      </c>
      <c r="I33" s="374"/>
      <c r="J33" s="375">
        <f>J31</f>
        <v>0</v>
      </c>
      <c r="K33" s="189"/>
      <c r="L33" s="357">
        <f>L31</f>
        <v>28462.5</v>
      </c>
      <c r="M33" s="189"/>
      <c r="N33" s="357">
        <f>N31</f>
        <v>33705</v>
      </c>
      <c r="O33" s="189"/>
      <c r="P33" s="357">
        <f>P31</f>
        <v>38947.5</v>
      </c>
      <c r="Q33" s="189"/>
      <c r="R33" s="357">
        <f>R31</f>
        <v>38947.5</v>
      </c>
      <c r="S33" s="189"/>
      <c r="T33" s="357">
        <f>T31</f>
        <v>38947.5</v>
      </c>
      <c r="U33" s="189"/>
      <c r="V33" s="357">
        <f>V31</f>
        <v>38947.5</v>
      </c>
      <c r="W33" s="189"/>
      <c r="X33" s="357">
        <f>X31</f>
        <v>38947.5</v>
      </c>
      <c r="Y33" s="189"/>
      <c r="Z33" s="357">
        <f>Z31</f>
        <v>0</v>
      </c>
      <c r="AA33" s="189"/>
      <c r="AB33" s="357">
        <f>AB31</f>
        <v>0</v>
      </c>
      <c r="AC33" s="358">
        <f>H71+F71+AB33+V33+T33+R33+P33+N33+L33+J33+H33+F33+Z33+X33</f>
        <v>256905</v>
      </c>
      <c r="AD33" s="190"/>
      <c r="BD33" s="190"/>
    </row>
    <row r="34" spans="1:57" hidden="1" x14ac:dyDescent="0.25">
      <c r="A34" s="347"/>
      <c r="B34" s="193" t="s">
        <v>96</v>
      </c>
      <c r="C34" s="193"/>
      <c r="D34" s="185">
        <v>0.4</v>
      </c>
      <c r="E34" s="100"/>
      <c r="F34" s="364">
        <f>1-(SUM(F4:F10)*0.7*$D$34)-1</f>
        <v>0</v>
      </c>
      <c r="G34" s="100"/>
      <c r="H34" s="364">
        <f>1-(SUM(H4:H10)*0.7*$D$34)-1</f>
        <v>0</v>
      </c>
      <c r="I34" s="100"/>
      <c r="J34" s="364">
        <f>1-(SUM(J4:J10)*0.7*$D$34)-1</f>
        <v>0</v>
      </c>
      <c r="K34" s="100"/>
      <c r="L34" s="364">
        <f>1-(SUM(L4:L10)*0.7*$D$34)-1</f>
        <v>-6152.2999999999993</v>
      </c>
      <c r="M34" s="100"/>
      <c r="N34" s="364">
        <f>1-(SUM(N4:N10)*0.7*$D$34)-1</f>
        <v>-7592.2000000000007</v>
      </c>
      <c r="O34" s="100"/>
      <c r="P34" s="364">
        <f>1-(SUM(P4:P10)*0.7*$D$34)-1</f>
        <v>-9032.1</v>
      </c>
      <c r="Q34" s="100"/>
      <c r="R34" s="364">
        <f>1-(SUM(R4:R10)*0.7*$D$34)-1</f>
        <v>-9032.1</v>
      </c>
      <c r="S34" s="100"/>
      <c r="T34" s="364">
        <f>1-(SUM(T4:T10)*0.7*$D$34)-1</f>
        <v>-9032.1</v>
      </c>
      <c r="U34" s="100"/>
      <c r="V34" s="364">
        <f>1-(SUM(V4:V10)*0.7*$D$34)-1</f>
        <v>-9032.1</v>
      </c>
      <c r="W34" s="100"/>
      <c r="X34" s="364">
        <f>1-(SUM(X4:X10)*0.7*$D$34)-1</f>
        <v>-9032.1</v>
      </c>
      <c r="Y34" s="100"/>
      <c r="Z34" s="364">
        <f>1-(SUM(Z4:Z10)*0.7*$D$34)-1</f>
        <v>0</v>
      </c>
      <c r="AA34" s="100"/>
      <c r="AB34" s="364">
        <f>1-(SUM(AB4:AB10)*0.7*$D$34)-1</f>
        <v>0</v>
      </c>
      <c r="AC34" s="365">
        <f ca="1">SUM(F34:AI34)</f>
        <v>-58904.999999999993</v>
      </c>
      <c r="AD34" s="101"/>
      <c r="BD34" s="101"/>
    </row>
    <row r="35" spans="1:57" ht="15.75" hidden="1" thickBot="1" x14ac:dyDescent="0.3">
      <c r="A35" s="347"/>
      <c r="B35" s="65" t="s">
        <v>159</v>
      </c>
      <c r="C35" s="65"/>
      <c r="D35" s="188"/>
      <c r="E35" s="189"/>
      <c r="F35" s="357">
        <f>F33+F34</f>
        <v>0</v>
      </c>
      <c r="G35" s="189"/>
      <c r="H35" s="357">
        <f>H33+H34</f>
        <v>0</v>
      </c>
      <c r="I35" s="189"/>
      <c r="J35" s="357">
        <f>J33+J34</f>
        <v>0</v>
      </c>
      <c r="K35" s="189"/>
      <c r="L35" s="357">
        <f>L33+L34</f>
        <v>22310.2</v>
      </c>
      <c r="M35" s="189"/>
      <c r="N35" s="357">
        <f>N33+N34</f>
        <v>26112.799999999999</v>
      </c>
      <c r="O35" s="189"/>
      <c r="P35" s="357">
        <f>P33+P34</f>
        <v>29915.4</v>
      </c>
      <c r="Q35" s="189"/>
      <c r="R35" s="357">
        <f>R33+R34</f>
        <v>29915.4</v>
      </c>
      <c r="S35" s="189"/>
      <c r="T35" s="357">
        <f>T33+T34</f>
        <v>29915.4</v>
      </c>
      <c r="U35" s="189"/>
      <c r="V35" s="357">
        <f>V33+V34</f>
        <v>29915.4</v>
      </c>
      <c r="W35" s="189"/>
      <c r="X35" s="357">
        <f>X33+X34</f>
        <v>29915.4</v>
      </c>
      <c r="Y35" s="189"/>
      <c r="Z35" s="357">
        <f>Z33+Z34</f>
        <v>0</v>
      </c>
      <c r="AA35" s="189"/>
      <c r="AB35" s="357">
        <f>AB33+AB34</f>
        <v>0</v>
      </c>
      <c r="AC35" s="357">
        <f ca="1">AC33+AC34</f>
        <v>198000</v>
      </c>
      <c r="AD35" s="190"/>
      <c r="BD35" s="190"/>
    </row>
    <row r="36" spans="1:57" x14ac:dyDescent="0.25">
      <c r="A36" s="347"/>
    </row>
    <row r="37" spans="1:57" x14ac:dyDescent="0.25">
      <c r="A37" s="347"/>
      <c r="K37" s="289" t="s">
        <v>222</v>
      </c>
    </row>
    <row r="38" spans="1:57" ht="4.5" customHeight="1" thickBot="1" x14ac:dyDescent="0.3">
      <c r="A38" s="368"/>
      <c r="B38" s="368"/>
      <c r="C38" s="368"/>
      <c r="D38" s="368"/>
      <c r="E38" s="369"/>
      <c r="F38" s="369"/>
      <c r="G38" s="369"/>
      <c r="H38" s="369"/>
      <c r="I38" s="369"/>
      <c r="J38" s="369"/>
      <c r="K38" s="369"/>
      <c r="L38" s="369"/>
      <c r="M38" s="369"/>
      <c r="N38" s="369"/>
      <c r="O38" s="369"/>
      <c r="P38" s="369"/>
      <c r="Q38" s="369"/>
      <c r="R38" s="369"/>
      <c r="S38" s="369"/>
      <c r="T38" s="369"/>
      <c r="U38" s="369"/>
      <c r="V38" s="369"/>
      <c r="W38" s="369"/>
      <c r="X38" s="369"/>
      <c r="Y38" s="369"/>
      <c r="Z38" s="369"/>
      <c r="AA38" s="369"/>
      <c r="AB38" s="369"/>
      <c r="AC38" s="370"/>
    </row>
    <row r="39" spans="1:57" ht="15.75" customHeight="1" thickBot="1" x14ac:dyDescent="0.3">
      <c r="A39" s="347" t="s">
        <v>221</v>
      </c>
      <c r="B39" s="46"/>
      <c r="C39" s="46"/>
      <c r="D39" s="8"/>
      <c r="E39" s="214" t="s">
        <v>203</v>
      </c>
      <c r="F39" s="4"/>
      <c r="G39" s="5" t="s">
        <v>204</v>
      </c>
      <c r="H39" s="4"/>
      <c r="I39" s="214" t="s">
        <v>205</v>
      </c>
      <c r="J39" s="4"/>
      <c r="K39" s="5" t="s">
        <v>206</v>
      </c>
      <c r="L39" s="4"/>
      <c r="M39" s="214" t="s">
        <v>207</v>
      </c>
      <c r="N39" s="4"/>
      <c r="O39" s="5" t="s">
        <v>208</v>
      </c>
      <c r="P39" s="4"/>
      <c r="Q39" s="214" t="s">
        <v>209</v>
      </c>
      <c r="R39" s="4"/>
      <c r="S39" s="5" t="s">
        <v>210</v>
      </c>
      <c r="T39" s="4"/>
      <c r="U39" s="214" t="s">
        <v>211</v>
      </c>
      <c r="V39" s="4"/>
      <c r="W39" s="5" t="s">
        <v>212</v>
      </c>
      <c r="X39" s="4"/>
      <c r="Y39" s="214" t="s">
        <v>213</v>
      </c>
      <c r="Z39" s="4"/>
      <c r="AA39" s="5" t="s">
        <v>214</v>
      </c>
      <c r="AB39" s="4"/>
      <c r="AC39" s="186"/>
      <c r="AD39" s="48"/>
      <c r="AE39" s="181"/>
      <c r="BC39" s="355"/>
      <c r="BE39" s="181"/>
    </row>
    <row r="40" spans="1:57" ht="15.75" thickBot="1" x14ac:dyDescent="0.3">
      <c r="A40" s="347"/>
      <c r="B40" s="349"/>
      <c r="C40" s="188" t="s">
        <v>35</v>
      </c>
      <c r="D40" s="188" t="s">
        <v>15</v>
      </c>
      <c r="E40" s="189" t="s">
        <v>13</v>
      </c>
      <c r="F40" s="357" t="s">
        <v>14</v>
      </c>
      <c r="G40" s="189" t="s">
        <v>13</v>
      </c>
      <c r="H40" s="357" t="s">
        <v>14</v>
      </c>
      <c r="I40" s="189" t="s">
        <v>13</v>
      </c>
      <c r="J40" s="357" t="s">
        <v>14</v>
      </c>
      <c r="K40" s="189" t="s">
        <v>13</v>
      </c>
      <c r="L40" s="357" t="s">
        <v>14</v>
      </c>
      <c r="M40" s="189" t="s">
        <v>13</v>
      </c>
      <c r="N40" s="357" t="s">
        <v>14</v>
      </c>
      <c r="O40" s="189" t="s">
        <v>13</v>
      </c>
      <c r="P40" s="357" t="s">
        <v>14</v>
      </c>
      <c r="Q40" s="189" t="s">
        <v>13</v>
      </c>
      <c r="R40" s="357" t="s">
        <v>14</v>
      </c>
      <c r="S40" s="189" t="s">
        <v>13</v>
      </c>
      <c r="T40" s="357" t="s">
        <v>14</v>
      </c>
      <c r="U40" s="189" t="s">
        <v>13</v>
      </c>
      <c r="V40" s="357" t="s">
        <v>14</v>
      </c>
      <c r="W40" s="189" t="s">
        <v>13</v>
      </c>
      <c r="X40" s="357" t="s">
        <v>14</v>
      </c>
      <c r="Y40" s="189" t="s">
        <v>13</v>
      </c>
      <c r="Z40" s="357" t="s">
        <v>14</v>
      </c>
      <c r="AA40" s="189" t="s">
        <v>13</v>
      </c>
      <c r="AB40" s="357" t="s">
        <v>14</v>
      </c>
      <c r="AC40" s="358"/>
      <c r="AD40" s="190"/>
      <c r="AE40" s="181"/>
      <c r="BC40" s="355"/>
      <c r="BE40" s="181"/>
    </row>
    <row r="41" spans="1:57" x14ac:dyDescent="0.25">
      <c r="A41" s="347"/>
      <c r="B41" s="351"/>
      <c r="C41" s="351"/>
      <c r="D41" s="352"/>
      <c r="F41" s="359"/>
      <c r="H41" s="359"/>
      <c r="J41" s="359"/>
      <c r="L41" s="359"/>
      <c r="N41" s="359"/>
      <c r="P41" s="359"/>
      <c r="R41" s="359"/>
      <c r="T41" s="359"/>
      <c r="V41" s="359"/>
      <c r="X41" s="359"/>
      <c r="Z41" s="359"/>
      <c r="AB41" s="359"/>
      <c r="AC41" s="360"/>
      <c r="AD41" s="354"/>
      <c r="AE41" s="181"/>
      <c r="BC41" s="355"/>
      <c r="BE41" s="181"/>
    </row>
    <row r="42" spans="1:57" x14ac:dyDescent="0.25">
      <c r="A42" s="347"/>
      <c r="B42" s="351" t="s">
        <v>215</v>
      </c>
      <c r="C42" s="351" t="s">
        <v>191</v>
      </c>
      <c r="D42" s="352">
        <f>D4*1.05</f>
        <v>106029</v>
      </c>
      <c r="E42" s="353">
        <f>AA4</f>
        <v>0</v>
      </c>
      <c r="F42" s="359">
        <f>E42*($D4/12)</f>
        <v>0</v>
      </c>
      <c r="G42" s="353">
        <f t="shared" ref="G42:G48" si="73">E42</f>
        <v>0</v>
      </c>
      <c r="H42" s="359">
        <f>G42*($D4/12)</f>
        <v>0</v>
      </c>
      <c r="I42" s="353">
        <f>G42</f>
        <v>0</v>
      </c>
      <c r="J42" s="359">
        <f>I42*($D4/12)</f>
        <v>0</v>
      </c>
      <c r="K42" s="353">
        <f t="shared" ref="K42:K48" si="74">I42</f>
        <v>0</v>
      </c>
      <c r="L42" s="359">
        <f>K42*($D4/12)</f>
        <v>0</v>
      </c>
      <c r="M42" s="353">
        <f t="shared" ref="M42:M48" si="75">K42</f>
        <v>0</v>
      </c>
      <c r="N42" s="359">
        <f>M42*($D4/12)</f>
        <v>0</v>
      </c>
      <c r="O42" s="353">
        <f t="shared" ref="O42:O48" si="76">M42</f>
        <v>0</v>
      </c>
      <c r="P42" s="359">
        <f>O42*($D4/12)</f>
        <v>0</v>
      </c>
      <c r="Q42" s="353">
        <f t="shared" ref="Q42:Q48" si="77">O42</f>
        <v>0</v>
      </c>
      <c r="R42" s="359">
        <f>Q42*($D4/12)</f>
        <v>0</v>
      </c>
      <c r="S42" s="353">
        <f t="shared" ref="S42:S48" si="78">Q42</f>
        <v>0</v>
      </c>
      <c r="T42" s="359">
        <f>S42*($D4/12)</f>
        <v>0</v>
      </c>
      <c r="U42" s="353">
        <f t="shared" ref="U42:U48" si="79">S42</f>
        <v>0</v>
      </c>
      <c r="V42" s="359">
        <f>U42*($D4/12)</f>
        <v>0</v>
      </c>
      <c r="W42" s="353">
        <f t="shared" ref="W42:W48" si="80">U42</f>
        <v>0</v>
      </c>
      <c r="X42" s="359">
        <f>W42*($D4/12)</f>
        <v>0</v>
      </c>
      <c r="Y42" s="353">
        <f t="shared" ref="Y42:Y48" si="81">W42</f>
        <v>0</v>
      </c>
      <c r="Z42" s="359">
        <f>Y42*($D4/12)</f>
        <v>0</v>
      </c>
      <c r="AB42" s="359">
        <f t="shared" ref="AB42:AB48" si="82">AA42*($D42/12)</f>
        <v>0</v>
      </c>
      <c r="AC42" s="360"/>
      <c r="AD42" s="354"/>
      <c r="AE42" s="181"/>
      <c r="BC42" s="355"/>
      <c r="BE42" s="181"/>
    </row>
    <row r="43" spans="1:57" x14ac:dyDescent="0.25">
      <c r="A43" s="347"/>
      <c r="B43" s="351" t="s">
        <v>63</v>
      </c>
      <c r="C43" s="351" t="s">
        <v>190</v>
      </c>
      <c r="D43" s="352">
        <f>D5*1.05</f>
        <v>64795.5</v>
      </c>
      <c r="E43" s="353">
        <f>AA5</f>
        <v>0</v>
      </c>
      <c r="F43" s="359">
        <f>E43*($D5/12)</f>
        <v>0</v>
      </c>
      <c r="G43" s="353">
        <f t="shared" si="73"/>
        <v>0</v>
      </c>
      <c r="H43" s="359">
        <f>G43*($D5/12)</f>
        <v>0</v>
      </c>
      <c r="I43" s="353">
        <f>G43</f>
        <v>0</v>
      </c>
      <c r="J43" s="359">
        <f>I43*($D5/12)</f>
        <v>0</v>
      </c>
      <c r="K43" s="353">
        <f t="shared" si="74"/>
        <v>0</v>
      </c>
      <c r="L43" s="359">
        <f>K43*($D5/12)</f>
        <v>0</v>
      </c>
      <c r="M43" s="353">
        <f t="shared" si="75"/>
        <v>0</v>
      </c>
      <c r="N43" s="359">
        <f>M43*($D5/12)</f>
        <v>0</v>
      </c>
      <c r="O43" s="353">
        <f t="shared" si="76"/>
        <v>0</v>
      </c>
      <c r="P43" s="359">
        <f>O43*($D5/12)</f>
        <v>0</v>
      </c>
      <c r="Q43" s="353">
        <f t="shared" si="77"/>
        <v>0</v>
      </c>
      <c r="R43" s="359">
        <f>Q43*($D5/12)</f>
        <v>0</v>
      </c>
      <c r="S43" s="353">
        <f t="shared" si="78"/>
        <v>0</v>
      </c>
      <c r="T43" s="359">
        <f>S43*($D5/12)</f>
        <v>0</v>
      </c>
      <c r="U43" s="353">
        <f t="shared" si="79"/>
        <v>0</v>
      </c>
      <c r="V43" s="359">
        <f>U43*($D5/12)</f>
        <v>0</v>
      </c>
      <c r="W43" s="353">
        <f t="shared" si="80"/>
        <v>0</v>
      </c>
      <c r="X43" s="359">
        <f>W43*($D5/12)</f>
        <v>0</v>
      </c>
      <c r="Y43" s="353">
        <f t="shared" si="81"/>
        <v>0</v>
      </c>
      <c r="Z43" s="359">
        <f>Y43*($D5/12)</f>
        <v>0</v>
      </c>
      <c r="AA43" s="353">
        <f t="shared" ref="AA43:AA48" si="83">Y43</f>
        <v>0</v>
      </c>
      <c r="AB43" s="359">
        <f t="shared" si="82"/>
        <v>0</v>
      </c>
      <c r="AC43" s="360"/>
      <c r="AD43" s="354"/>
      <c r="AE43" s="181"/>
      <c r="BC43" s="355"/>
      <c r="BE43" s="181"/>
    </row>
    <row r="44" spans="1:57" x14ac:dyDescent="0.25">
      <c r="A44" s="347"/>
      <c r="B44" s="351" t="s">
        <v>114</v>
      </c>
      <c r="C44" s="351" t="s">
        <v>190</v>
      </c>
      <c r="D44" s="352">
        <f>D6*1.05</f>
        <v>64795.5</v>
      </c>
      <c r="E44" s="353">
        <f>AA6</f>
        <v>0</v>
      </c>
      <c r="F44" s="359">
        <f>E44*($D6/12)</f>
        <v>0</v>
      </c>
      <c r="G44" s="353">
        <f t="shared" si="73"/>
        <v>0</v>
      </c>
      <c r="H44" s="359">
        <f>G44*($D6/12)</f>
        <v>0</v>
      </c>
      <c r="I44" s="353">
        <f>G44</f>
        <v>0</v>
      </c>
      <c r="J44" s="359">
        <f>I44*($D6/12)</f>
        <v>0</v>
      </c>
      <c r="K44" s="353">
        <f t="shared" si="74"/>
        <v>0</v>
      </c>
      <c r="L44" s="359">
        <f>K44*($D6/12)</f>
        <v>0</v>
      </c>
      <c r="M44" s="353">
        <f t="shared" si="75"/>
        <v>0</v>
      </c>
      <c r="N44" s="359">
        <f>M44*($D6/12)</f>
        <v>0</v>
      </c>
      <c r="O44" s="353">
        <f t="shared" si="76"/>
        <v>0</v>
      </c>
      <c r="P44" s="359">
        <f>O44*($D6/12)</f>
        <v>0</v>
      </c>
      <c r="Q44" s="353">
        <f t="shared" si="77"/>
        <v>0</v>
      </c>
      <c r="R44" s="359">
        <f>Q44*($D6/12)</f>
        <v>0</v>
      </c>
      <c r="S44" s="353">
        <f t="shared" si="78"/>
        <v>0</v>
      </c>
      <c r="T44" s="359">
        <f>S44*($D6/12)</f>
        <v>0</v>
      </c>
      <c r="U44" s="353">
        <f t="shared" si="79"/>
        <v>0</v>
      </c>
      <c r="V44" s="359">
        <f>U44*($D6/12)</f>
        <v>0</v>
      </c>
      <c r="W44" s="353">
        <f t="shared" si="80"/>
        <v>0</v>
      </c>
      <c r="X44" s="359">
        <f>W44*($D6/12)</f>
        <v>0</v>
      </c>
      <c r="Y44" s="353">
        <f t="shared" si="81"/>
        <v>0</v>
      </c>
      <c r="Z44" s="359">
        <f>Y44*($D6/12)</f>
        <v>0</v>
      </c>
      <c r="AA44" s="353">
        <f t="shared" si="83"/>
        <v>0</v>
      </c>
      <c r="AB44" s="359">
        <f t="shared" si="82"/>
        <v>0</v>
      </c>
      <c r="AC44" s="360"/>
      <c r="AD44" s="354"/>
      <c r="AE44" s="181"/>
      <c r="BC44" s="355"/>
      <c r="BE44" s="181"/>
    </row>
    <row r="45" spans="1:57" x14ac:dyDescent="0.25">
      <c r="A45" s="347"/>
      <c r="B45" s="351" t="s">
        <v>216</v>
      </c>
      <c r="C45" s="351" t="s">
        <v>191</v>
      </c>
      <c r="D45" s="352">
        <f>D7*1.05</f>
        <v>106029</v>
      </c>
      <c r="E45" s="353">
        <f>AA7</f>
        <v>0</v>
      </c>
      <c r="F45" s="359">
        <f>E45*($D7/12)</f>
        <v>0</v>
      </c>
      <c r="G45" s="353">
        <f t="shared" si="73"/>
        <v>0</v>
      </c>
      <c r="H45" s="359">
        <f>G45*($D7/12)</f>
        <v>0</v>
      </c>
      <c r="I45" s="353">
        <f>G45</f>
        <v>0</v>
      </c>
      <c r="J45" s="359">
        <f>I45*($D7/12)</f>
        <v>0</v>
      </c>
      <c r="K45" s="353">
        <f t="shared" si="74"/>
        <v>0</v>
      </c>
      <c r="L45" s="359">
        <f>K45*($D7/12)</f>
        <v>0</v>
      </c>
      <c r="M45" s="353">
        <f t="shared" si="75"/>
        <v>0</v>
      </c>
      <c r="N45" s="359">
        <f>M45*($D7/12)</f>
        <v>0</v>
      </c>
      <c r="O45" s="353">
        <f t="shared" si="76"/>
        <v>0</v>
      </c>
      <c r="P45" s="359">
        <f>O45*($D7/12)</f>
        <v>0</v>
      </c>
      <c r="Q45" s="353">
        <f t="shared" si="77"/>
        <v>0</v>
      </c>
      <c r="R45" s="359">
        <f>Q45*($D7/12)</f>
        <v>0</v>
      </c>
      <c r="S45" s="353">
        <f t="shared" si="78"/>
        <v>0</v>
      </c>
      <c r="T45" s="359">
        <f>S45*($D7/12)</f>
        <v>0</v>
      </c>
      <c r="U45" s="353">
        <f t="shared" si="79"/>
        <v>0</v>
      </c>
      <c r="V45" s="359">
        <f>U45*($D7/12)</f>
        <v>0</v>
      </c>
      <c r="W45" s="353">
        <f t="shared" si="80"/>
        <v>0</v>
      </c>
      <c r="X45" s="359">
        <f>W45*($D7/12)</f>
        <v>0</v>
      </c>
      <c r="Y45" s="353">
        <f t="shared" si="81"/>
        <v>0</v>
      </c>
      <c r="Z45" s="359">
        <f>Y45*($D7/12)</f>
        <v>0</v>
      </c>
      <c r="AA45" s="353">
        <f t="shared" si="83"/>
        <v>0</v>
      </c>
      <c r="AB45" s="359">
        <f t="shared" si="82"/>
        <v>0</v>
      </c>
      <c r="AC45" s="360"/>
      <c r="AD45" s="354"/>
      <c r="AE45" s="181"/>
      <c r="BC45" s="355"/>
      <c r="BE45" s="181"/>
    </row>
    <row r="46" spans="1:57" x14ac:dyDescent="0.25">
      <c r="A46" s="347"/>
      <c r="B46" s="351" t="s">
        <v>131</v>
      </c>
      <c r="C46" s="351" t="s">
        <v>190</v>
      </c>
      <c r="D46" s="352">
        <f>D8*1.05</f>
        <v>64795.5</v>
      </c>
      <c r="E46" s="353">
        <f>AA8</f>
        <v>0</v>
      </c>
      <c r="F46" s="359">
        <f>E46*($D8/12)</f>
        <v>0</v>
      </c>
      <c r="G46" s="353">
        <f t="shared" si="73"/>
        <v>0</v>
      </c>
      <c r="H46" s="359">
        <f>G46*($D8/12)</f>
        <v>0</v>
      </c>
      <c r="I46" s="353">
        <f>G46</f>
        <v>0</v>
      </c>
      <c r="J46" s="359">
        <f>I46*($D8/12)</f>
        <v>0</v>
      </c>
      <c r="K46" s="353">
        <f t="shared" si="74"/>
        <v>0</v>
      </c>
      <c r="L46" s="359">
        <f>K46*($D8/12)</f>
        <v>0</v>
      </c>
      <c r="M46" s="353">
        <f t="shared" si="75"/>
        <v>0</v>
      </c>
      <c r="N46" s="359">
        <f>M46*($D8/12)</f>
        <v>0</v>
      </c>
      <c r="O46" s="353">
        <f t="shared" si="76"/>
        <v>0</v>
      </c>
      <c r="P46" s="359">
        <f>O46*($D8/12)</f>
        <v>0</v>
      </c>
      <c r="Q46" s="353">
        <f t="shared" si="77"/>
        <v>0</v>
      </c>
      <c r="R46" s="359">
        <f>Q46*($D8/12)</f>
        <v>0</v>
      </c>
      <c r="S46" s="353">
        <f t="shared" si="78"/>
        <v>0</v>
      </c>
      <c r="T46" s="359">
        <f>S46*($D8/12)</f>
        <v>0</v>
      </c>
      <c r="U46" s="353">
        <f t="shared" si="79"/>
        <v>0</v>
      </c>
      <c r="V46" s="359">
        <f>U46*($D8/12)</f>
        <v>0</v>
      </c>
      <c r="W46" s="353">
        <f t="shared" si="80"/>
        <v>0</v>
      </c>
      <c r="X46" s="359">
        <f>W46*($D8/12)</f>
        <v>0</v>
      </c>
      <c r="Y46" s="353">
        <f t="shared" si="81"/>
        <v>0</v>
      </c>
      <c r="Z46" s="359">
        <f>Y46*($D8/12)</f>
        <v>0</v>
      </c>
      <c r="AA46" s="353">
        <f t="shared" si="83"/>
        <v>0</v>
      </c>
      <c r="AB46" s="359">
        <f t="shared" si="82"/>
        <v>0</v>
      </c>
      <c r="AC46" s="360"/>
      <c r="AD46" s="354"/>
      <c r="AE46" s="181"/>
      <c r="BC46" s="355"/>
      <c r="BE46" s="181"/>
    </row>
    <row r="47" spans="1:57" x14ac:dyDescent="0.25">
      <c r="A47" s="347"/>
      <c r="B47" s="351" t="s">
        <v>189</v>
      </c>
      <c r="C47" s="351"/>
      <c r="D47" s="352">
        <f>D9*1.05</f>
        <v>0</v>
      </c>
      <c r="E47" s="353">
        <f>AA9</f>
        <v>0</v>
      </c>
      <c r="F47" s="359">
        <f>E47*($D9/12)</f>
        <v>0</v>
      </c>
      <c r="G47" s="353">
        <f t="shared" si="73"/>
        <v>0</v>
      </c>
      <c r="H47" s="359">
        <f>G47*($D9/12)</f>
        <v>0</v>
      </c>
      <c r="I47" s="353">
        <f>G47</f>
        <v>0</v>
      </c>
      <c r="J47" s="359">
        <f>I47*($D9/12)</f>
        <v>0</v>
      </c>
      <c r="K47" s="353">
        <f t="shared" si="74"/>
        <v>0</v>
      </c>
      <c r="L47" s="359">
        <f>K47*($D9/12)</f>
        <v>0</v>
      </c>
      <c r="M47" s="353">
        <f t="shared" si="75"/>
        <v>0</v>
      </c>
      <c r="N47" s="359">
        <f>M47*($D9/12)</f>
        <v>0</v>
      </c>
      <c r="O47" s="353">
        <f t="shared" si="76"/>
        <v>0</v>
      </c>
      <c r="P47" s="359">
        <f>O47*($D9/12)</f>
        <v>0</v>
      </c>
      <c r="Q47" s="353">
        <f t="shared" si="77"/>
        <v>0</v>
      </c>
      <c r="R47" s="359">
        <f>Q47*($D9/12)</f>
        <v>0</v>
      </c>
      <c r="S47" s="353">
        <f t="shared" si="78"/>
        <v>0</v>
      </c>
      <c r="T47" s="359">
        <f>S47*($D9/12)</f>
        <v>0</v>
      </c>
      <c r="U47" s="353">
        <f t="shared" si="79"/>
        <v>0</v>
      </c>
      <c r="V47" s="359">
        <f>U47*($D9/12)</f>
        <v>0</v>
      </c>
      <c r="W47" s="353">
        <f t="shared" si="80"/>
        <v>0</v>
      </c>
      <c r="X47" s="359">
        <f>W47*($D9/12)</f>
        <v>0</v>
      </c>
      <c r="Y47" s="353">
        <f t="shared" si="81"/>
        <v>0</v>
      </c>
      <c r="Z47" s="359">
        <f>Y47*($D9/12)</f>
        <v>0</v>
      </c>
      <c r="AA47" s="353">
        <f t="shared" si="83"/>
        <v>0</v>
      </c>
      <c r="AB47" s="359">
        <f t="shared" si="82"/>
        <v>0</v>
      </c>
      <c r="AC47" s="360"/>
      <c r="AD47" s="354"/>
      <c r="AE47" s="181"/>
      <c r="BC47" s="355"/>
      <c r="BE47" s="181"/>
    </row>
    <row r="48" spans="1:57" ht="15.75" thickBot="1" x14ac:dyDescent="0.3">
      <c r="A48" s="347"/>
      <c r="B48" s="351"/>
      <c r="C48" s="351"/>
      <c r="D48" s="352">
        <f>D10*1.05</f>
        <v>0</v>
      </c>
      <c r="E48" s="353">
        <f>AA10</f>
        <v>0</v>
      </c>
      <c r="F48" s="359">
        <f>E48*($D10/12)</f>
        <v>0</v>
      </c>
      <c r="G48" s="353">
        <f t="shared" si="73"/>
        <v>0</v>
      </c>
      <c r="H48" s="359">
        <f>G48*($D10/12)</f>
        <v>0</v>
      </c>
      <c r="I48" s="353">
        <f>G48</f>
        <v>0</v>
      </c>
      <c r="J48" s="359">
        <f>I48*($D10/12)</f>
        <v>0</v>
      </c>
      <c r="K48" s="353">
        <f t="shared" si="74"/>
        <v>0</v>
      </c>
      <c r="L48" s="359">
        <f>K48*($D10/12)</f>
        <v>0</v>
      </c>
      <c r="M48" s="353">
        <f t="shared" si="75"/>
        <v>0</v>
      </c>
      <c r="N48" s="359">
        <f>M48*($D10/12)</f>
        <v>0</v>
      </c>
      <c r="O48" s="353">
        <f t="shared" si="76"/>
        <v>0</v>
      </c>
      <c r="P48" s="359">
        <f>O48*($D10/12)</f>
        <v>0</v>
      </c>
      <c r="Q48" s="353">
        <f t="shared" si="77"/>
        <v>0</v>
      </c>
      <c r="R48" s="359">
        <f>Q48*($D10/12)</f>
        <v>0</v>
      </c>
      <c r="S48" s="353">
        <f t="shared" si="78"/>
        <v>0</v>
      </c>
      <c r="T48" s="359">
        <f>S48*($D10/12)</f>
        <v>0</v>
      </c>
      <c r="U48" s="353">
        <f t="shared" si="79"/>
        <v>0</v>
      </c>
      <c r="V48" s="359">
        <f>U48*($D10/12)</f>
        <v>0</v>
      </c>
      <c r="W48" s="353">
        <f t="shared" si="80"/>
        <v>0</v>
      </c>
      <c r="X48" s="359">
        <f>W48*($D10/12)</f>
        <v>0</v>
      </c>
      <c r="Y48" s="353">
        <f t="shared" si="81"/>
        <v>0</v>
      </c>
      <c r="Z48" s="359">
        <f>Y48*($D10/12)</f>
        <v>0</v>
      </c>
      <c r="AA48" s="353">
        <f t="shared" si="83"/>
        <v>0</v>
      </c>
      <c r="AB48" s="359">
        <f t="shared" si="82"/>
        <v>0</v>
      </c>
      <c r="AC48" s="360"/>
      <c r="AD48" s="354"/>
      <c r="AE48" s="181"/>
      <c r="BC48" s="355"/>
      <c r="BE48" s="181"/>
    </row>
    <row r="49" spans="1:57" ht="15.75" thickBot="1" x14ac:dyDescent="0.3">
      <c r="A49" s="347"/>
      <c r="B49" s="65" t="s">
        <v>12</v>
      </c>
      <c r="C49" s="65"/>
      <c r="D49" s="188"/>
      <c r="E49" s="189">
        <f>SUM(E42:E48)</f>
        <v>0</v>
      </c>
      <c r="F49" s="357">
        <f>SUM(F42:F48)</f>
        <v>0</v>
      </c>
      <c r="G49" s="189">
        <f>SUM(G42:G48)</f>
        <v>0</v>
      </c>
      <c r="H49" s="357">
        <f>SUM(H42:H48)</f>
        <v>0</v>
      </c>
      <c r="I49" s="189">
        <f t="shared" ref="I49:N49" si="84">SUM(I42:I48)</f>
        <v>0</v>
      </c>
      <c r="J49" s="357">
        <f t="shared" si="84"/>
        <v>0</v>
      </c>
      <c r="K49" s="189">
        <f t="shared" si="84"/>
        <v>0</v>
      </c>
      <c r="L49" s="357">
        <f t="shared" si="84"/>
        <v>0</v>
      </c>
      <c r="M49" s="189">
        <f t="shared" si="84"/>
        <v>0</v>
      </c>
      <c r="N49" s="357">
        <f t="shared" si="84"/>
        <v>0</v>
      </c>
      <c r="O49" s="189">
        <f t="shared" ref="O49:AB49" si="85">SUM(O42:O48)</f>
        <v>0</v>
      </c>
      <c r="P49" s="357">
        <f t="shared" si="85"/>
        <v>0</v>
      </c>
      <c r="Q49" s="189">
        <f t="shared" si="85"/>
        <v>0</v>
      </c>
      <c r="R49" s="357">
        <f t="shared" si="85"/>
        <v>0</v>
      </c>
      <c r="S49" s="189">
        <f t="shared" si="85"/>
        <v>0</v>
      </c>
      <c r="T49" s="357">
        <f t="shared" si="85"/>
        <v>0</v>
      </c>
      <c r="U49" s="189">
        <f t="shared" si="85"/>
        <v>0</v>
      </c>
      <c r="V49" s="357">
        <f t="shared" si="85"/>
        <v>0</v>
      </c>
      <c r="W49" s="189">
        <f t="shared" si="85"/>
        <v>0</v>
      </c>
      <c r="X49" s="357">
        <f t="shared" si="85"/>
        <v>0</v>
      </c>
      <c r="Y49" s="189">
        <f t="shared" si="85"/>
        <v>0</v>
      </c>
      <c r="Z49" s="357">
        <f t="shared" si="85"/>
        <v>0</v>
      </c>
      <c r="AA49" s="189">
        <f t="shared" si="85"/>
        <v>0</v>
      </c>
      <c r="AB49" s="357">
        <f t="shared" si="85"/>
        <v>0</v>
      </c>
      <c r="AC49" s="358">
        <f>H87+F87+AB49+V49+T49+R49+P49+N49+L49+J49+H49+F49+Z49+X49</f>
        <v>0</v>
      </c>
      <c r="AD49" s="190"/>
      <c r="AE49" s="181"/>
      <c r="BC49" s="355"/>
      <c r="BE49" s="181"/>
    </row>
    <row r="50" spans="1:57" x14ac:dyDescent="0.25">
      <c r="A50" s="347"/>
      <c r="B50" s="351"/>
      <c r="C50" s="351"/>
      <c r="D50" s="352"/>
      <c r="F50" s="359"/>
      <c r="H50" s="359"/>
      <c r="J50" s="359"/>
      <c r="L50" s="359"/>
      <c r="N50" s="359"/>
      <c r="P50" s="359"/>
      <c r="R50" s="359"/>
      <c r="T50" s="359"/>
      <c r="V50" s="359"/>
      <c r="X50" s="359"/>
      <c r="Z50" s="359"/>
      <c r="AB50" s="359"/>
      <c r="AC50" s="360"/>
      <c r="AD50" s="354"/>
      <c r="AE50" s="181"/>
      <c r="BC50" s="355"/>
      <c r="BE50" s="181"/>
    </row>
    <row r="51" spans="1:57" x14ac:dyDescent="0.25">
      <c r="A51" s="347"/>
      <c r="B51" s="356" t="s">
        <v>217</v>
      </c>
      <c r="C51" s="356"/>
      <c r="D51" s="352">
        <f>D13*1.05</f>
        <v>2100</v>
      </c>
      <c r="F51" s="209"/>
      <c r="H51" s="209"/>
      <c r="J51" s="209">
        <f>($D13*I$49)</f>
        <v>0</v>
      </c>
      <c r="L51" s="209">
        <f>($D13*K$49)</f>
        <v>0</v>
      </c>
      <c r="N51" s="209">
        <f>($D13*M$49)</f>
        <v>0</v>
      </c>
      <c r="P51" s="209">
        <f>($D13*O$49)</f>
        <v>0</v>
      </c>
      <c r="R51" s="209">
        <f>($D13*Q$49)</f>
        <v>0</v>
      </c>
      <c r="T51" s="209">
        <f>($D13*S$49)</f>
        <v>0</v>
      </c>
      <c r="V51" s="209">
        <f>($D13*U$49)</f>
        <v>0</v>
      </c>
      <c r="X51" s="209">
        <f>($D13*W$49)</f>
        <v>0</v>
      </c>
      <c r="Z51" s="209">
        <f>($D13*Y$49)</f>
        <v>0</v>
      </c>
      <c r="AB51" s="209"/>
      <c r="AC51" s="360"/>
      <c r="AD51" s="354"/>
      <c r="AE51" s="181"/>
      <c r="BC51" s="355"/>
      <c r="BE51" s="181"/>
    </row>
    <row r="52" spans="1:57" x14ac:dyDescent="0.25">
      <c r="A52" s="347"/>
      <c r="B52" s="249" t="s">
        <v>25</v>
      </c>
      <c r="C52" s="249"/>
      <c r="D52" s="352"/>
      <c r="F52" s="209"/>
      <c r="H52" s="209"/>
      <c r="J52" s="359"/>
      <c r="L52" s="359"/>
      <c r="N52" s="359"/>
      <c r="P52" s="359"/>
      <c r="R52" s="359"/>
      <c r="T52" s="359"/>
      <c r="V52" s="359"/>
      <c r="X52" s="359"/>
      <c r="Z52" s="359"/>
      <c r="AB52" s="209"/>
      <c r="AC52" s="360"/>
      <c r="AD52" s="354"/>
      <c r="AE52" s="181"/>
      <c r="BC52" s="355"/>
      <c r="BE52" s="181"/>
    </row>
    <row r="53" spans="1:57" x14ac:dyDescent="0.25">
      <c r="A53" s="347"/>
      <c r="B53" s="356" t="s">
        <v>11</v>
      </c>
      <c r="C53" s="356"/>
      <c r="D53" s="352">
        <f>D15*1.05</f>
        <v>52.5</v>
      </c>
      <c r="F53" s="209"/>
      <c r="H53" s="209"/>
      <c r="J53" s="359">
        <f>($D15*I$49)</f>
        <v>0</v>
      </c>
      <c r="L53" s="359">
        <f>($D15*K$49)</f>
        <v>0</v>
      </c>
      <c r="N53" s="359">
        <f>($D15*M$49)</f>
        <v>0</v>
      </c>
      <c r="P53" s="359">
        <f>($D15*O$49)</f>
        <v>0</v>
      </c>
      <c r="R53" s="359">
        <f>($D15*Q$49)</f>
        <v>0</v>
      </c>
      <c r="T53" s="359">
        <f>($D15*S$49)</f>
        <v>0</v>
      </c>
      <c r="V53" s="359">
        <f>($D15*U$49)</f>
        <v>0</v>
      </c>
      <c r="X53" s="359">
        <f>($D15*W$49)</f>
        <v>0</v>
      </c>
      <c r="Z53" s="359">
        <f>($D15*Y$49)</f>
        <v>0</v>
      </c>
      <c r="AB53" s="209"/>
      <c r="AC53" s="360"/>
      <c r="AD53" s="354"/>
      <c r="AE53" s="181"/>
      <c r="BC53" s="355"/>
      <c r="BE53" s="181"/>
    </row>
    <row r="54" spans="1:57" x14ac:dyDescent="0.25">
      <c r="A54" s="347"/>
      <c r="B54" s="356" t="s">
        <v>19</v>
      </c>
      <c r="C54" s="356"/>
      <c r="D54" s="352"/>
      <c r="F54" s="209"/>
      <c r="H54" s="209"/>
      <c r="J54" s="359"/>
      <c r="L54" s="359"/>
      <c r="N54" s="359"/>
      <c r="P54" s="359"/>
      <c r="R54" s="359"/>
      <c r="T54" s="359"/>
      <c r="V54" s="359"/>
      <c r="X54" s="359"/>
      <c r="Z54" s="359"/>
      <c r="AB54" s="209"/>
      <c r="AC54" s="360"/>
      <c r="AD54" s="354"/>
      <c r="AE54" s="181"/>
      <c r="BC54" s="355"/>
      <c r="BE54" s="181"/>
    </row>
    <row r="55" spans="1:57" x14ac:dyDescent="0.25">
      <c r="A55" s="347"/>
      <c r="B55" s="356" t="s">
        <v>21</v>
      </c>
      <c r="C55" s="356"/>
      <c r="D55" s="352">
        <f>D17*1.05</f>
        <v>262.5</v>
      </c>
      <c r="F55" s="209"/>
      <c r="H55" s="209"/>
      <c r="J55" s="359">
        <f>($D17*I$49)</f>
        <v>0</v>
      </c>
      <c r="L55" s="359">
        <f>($D17*K$49)</f>
        <v>0</v>
      </c>
      <c r="N55" s="359">
        <f>($D17*M$49)</f>
        <v>0</v>
      </c>
      <c r="P55" s="359">
        <f>($D17*O$49)</f>
        <v>0</v>
      </c>
      <c r="R55" s="359">
        <f>($D17*Q$49)</f>
        <v>0</v>
      </c>
      <c r="T55" s="359">
        <f>($D17*S$49)</f>
        <v>0</v>
      </c>
      <c r="V55" s="359">
        <f>($D17*U$49)</f>
        <v>0</v>
      </c>
      <c r="X55" s="359">
        <f>($D17*W$49)</f>
        <v>0</v>
      </c>
      <c r="Z55" s="359">
        <f>($D17*Y$49)</f>
        <v>0</v>
      </c>
      <c r="AB55" s="209"/>
      <c r="AC55" s="360"/>
      <c r="AD55" s="354"/>
      <c r="AE55" s="181"/>
      <c r="BC55" s="355"/>
      <c r="BE55" s="181"/>
    </row>
    <row r="56" spans="1:57" ht="15.75" thickBot="1" x14ac:dyDescent="0.3">
      <c r="A56" s="347"/>
      <c r="B56" s="250" t="s">
        <v>27</v>
      </c>
      <c r="C56" s="249"/>
      <c r="D56" s="352">
        <f>D18*1.05</f>
        <v>52.5</v>
      </c>
      <c r="F56" s="209"/>
      <c r="H56" s="209"/>
      <c r="J56" s="359">
        <f>($D18*I$49)</f>
        <v>0</v>
      </c>
      <c r="L56" s="359">
        <f>($D18*K$49)</f>
        <v>0</v>
      </c>
      <c r="N56" s="359">
        <f>($D18*M$49)</f>
        <v>0</v>
      </c>
      <c r="P56" s="359">
        <f>($D18*O$49)</f>
        <v>0</v>
      </c>
      <c r="R56" s="359">
        <f>($D18*Q$49)</f>
        <v>0</v>
      </c>
      <c r="T56" s="359">
        <f>($D18*S$49)</f>
        <v>0</v>
      </c>
      <c r="V56" s="359">
        <f>($D18*U$49)</f>
        <v>0</v>
      </c>
      <c r="X56" s="359">
        <f>($D18*W$49)</f>
        <v>0</v>
      </c>
      <c r="Z56" s="359">
        <f>($D18*Y$49)</f>
        <v>0</v>
      </c>
      <c r="AB56" s="209"/>
      <c r="AC56" s="360"/>
      <c r="AD56" s="354"/>
      <c r="AE56" s="181"/>
      <c r="BC56" s="355"/>
      <c r="BE56" s="181"/>
    </row>
    <row r="57" spans="1:57" ht="15.75" thickBot="1" x14ac:dyDescent="0.3">
      <c r="A57" s="347"/>
      <c r="B57" s="248" t="s">
        <v>12</v>
      </c>
      <c r="C57" s="248"/>
      <c r="D57" s="188"/>
      <c r="E57" s="362"/>
      <c r="F57" s="361">
        <f>SUM(F50:F56)</f>
        <v>0</v>
      </c>
      <c r="G57" s="362"/>
      <c r="H57" s="361">
        <f>SUM(H50:H56)</f>
        <v>0</v>
      </c>
      <c r="I57" s="17"/>
      <c r="J57" s="361">
        <f>SUM(J50:J56)</f>
        <v>0</v>
      </c>
      <c r="K57" s="362"/>
      <c r="L57" s="361">
        <f>SUM(L50:L56)</f>
        <v>0</v>
      </c>
      <c r="M57" s="362"/>
      <c r="N57" s="361">
        <f>SUM(N50:N56)</f>
        <v>0</v>
      </c>
      <c r="O57" s="362"/>
      <c r="P57" s="361">
        <f>SUM(P50:P56)</f>
        <v>0</v>
      </c>
      <c r="Q57" s="362"/>
      <c r="R57" s="361">
        <f>SUM(R50:R56)</f>
        <v>0</v>
      </c>
      <c r="S57" s="362"/>
      <c r="T57" s="361">
        <f>SUM(T50:T56)</f>
        <v>0</v>
      </c>
      <c r="U57" s="362"/>
      <c r="V57" s="361">
        <f>SUM(V50:V56)</f>
        <v>0</v>
      </c>
      <c r="W57" s="362"/>
      <c r="X57" s="361">
        <f>SUM(X50:X56)</f>
        <v>0</v>
      </c>
      <c r="Y57" s="362"/>
      <c r="Z57" s="361">
        <f>SUM(Z50:Z56)</f>
        <v>0</v>
      </c>
      <c r="AA57" s="362"/>
      <c r="AB57" s="361">
        <f>SUM(AB50:AB56)</f>
        <v>0</v>
      </c>
      <c r="AC57" s="358">
        <f>H95+F95+AB57+V57+T57+R57+P57+N57+L57+J57+H57+F57+Z57+X57</f>
        <v>0</v>
      </c>
      <c r="AD57" s="354"/>
      <c r="AE57" s="181"/>
      <c r="BC57" s="355"/>
      <c r="BE57" s="181"/>
    </row>
    <row r="58" spans="1:57" ht="6" customHeight="1" x14ac:dyDescent="0.25">
      <c r="A58" s="347"/>
      <c r="B58" s="351"/>
      <c r="C58" s="351"/>
      <c r="D58" s="352"/>
      <c r="F58" s="359"/>
      <c r="H58" s="359"/>
      <c r="J58" s="359"/>
      <c r="L58" s="359"/>
      <c r="N58" s="359"/>
      <c r="P58" s="359"/>
      <c r="R58" s="359"/>
      <c r="T58" s="359"/>
      <c r="V58" s="359"/>
      <c r="X58" s="359"/>
      <c r="Z58" s="359"/>
      <c r="AB58" s="359"/>
      <c r="AC58" s="360"/>
      <c r="AD58" s="354"/>
      <c r="AE58" s="181"/>
      <c r="BC58" s="355"/>
      <c r="BE58" s="181"/>
    </row>
    <row r="59" spans="1:57" x14ac:dyDescent="0.25">
      <c r="A59" s="347"/>
      <c r="B59" s="366" t="s">
        <v>20</v>
      </c>
      <c r="C59" s="367"/>
      <c r="D59" s="352">
        <f>D21*1.05</f>
        <v>0</v>
      </c>
      <c r="F59" s="209"/>
      <c r="H59" s="209"/>
      <c r="J59" s="209"/>
      <c r="L59" s="209"/>
      <c r="N59" s="209"/>
      <c r="P59" s="209"/>
      <c r="R59" s="209"/>
      <c r="T59" s="209"/>
      <c r="V59" s="209"/>
      <c r="X59" s="209"/>
      <c r="Z59" s="209"/>
      <c r="AB59" s="209"/>
      <c r="AC59" s="360"/>
      <c r="AD59" s="354"/>
      <c r="AE59" s="181"/>
      <c r="BC59" s="355"/>
      <c r="BE59" s="181"/>
    </row>
    <row r="60" spans="1:57" x14ac:dyDescent="0.25">
      <c r="A60" s="347"/>
      <c r="B60" s="366" t="s">
        <v>26</v>
      </c>
      <c r="C60" s="367"/>
      <c r="D60" s="352">
        <f>D22*1.05</f>
        <v>2100</v>
      </c>
      <c r="F60" s="359"/>
      <c r="H60" s="359"/>
      <c r="J60" s="209"/>
      <c r="L60" s="209"/>
      <c r="N60" s="209"/>
      <c r="P60" s="209"/>
      <c r="R60" s="209"/>
      <c r="T60" s="209"/>
      <c r="V60" s="209"/>
      <c r="X60" s="209"/>
      <c r="Z60" s="209"/>
      <c r="AB60" s="359"/>
      <c r="AC60" s="360"/>
      <c r="AD60" s="354"/>
      <c r="AE60" s="181"/>
      <c r="BC60" s="355"/>
      <c r="BE60" s="181"/>
    </row>
    <row r="61" spans="1:57" x14ac:dyDescent="0.25">
      <c r="A61" s="347"/>
      <c r="B61" s="366" t="s">
        <v>22</v>
      </c>
      <c r="C61" s="367"/>
      <c r="D61" s="352">
        <f>D23*1.05</f>
        <v>1050</v>
      </c>
      <c r="F61" s="359"/>
      <c r="H61" s="359"/>
      <c r="J61" s="209"/>
      <c r="L61" s="209"/>
      <c r="N61" s="209"/>
      <c r="P61" s="209"/>
      <c r="R61" s="209"/>
      <c r="T61" s="209"/>
      <c r="V61" s="209"/>
      <c r="X61" s="209"/>
      <c r="Z61" s="209"/>
      <c r="AB61" s="359"/>
      <c r="AC61" s="360"/>
      <c r="AD61" s="354"/>
      <c r="AE61" s="181"/>
      <c r="BC61" s="355"/>
      <c r="BE61" s="181"/>
    </row>
    <row r="62" spans="1:57" x14ac:dyDescent="0.25">
      <c r="A62" s="347"/>
      <c r="B62" s="366" t="s">
        <v>23</v>
      </c>
      <c r="C62" s="367"/>
      <c r="D62" s="352">
        <f>D24*1.05</f>
        <v>0</v>
      </c>
      <c r="F62" s="359"/>
      <c r="H62" s="359"/>
      <c r="J62" s="209"/>
      <c r="L62" s="209"/>
      <c r="N62" s="209"/>
      <c r="P62" s="209"/>
      <c r="R62" s="209"/>
      <c r="T62" s="209"/>
      <c r="V62" s="209"/>
      <c r="X62" s="209"/>
      <c r="Z62" s="209"/>
      <c r="AB62" s="359"/>
      <c r="AC62" s="360"/>
      <c r="AD62" s="354"/>
      <c r="AE62" s="181"/>
      <c r="BC62" s="355"/>
      <c r="BE62" s="181"/>
    </row>
    <row r="63" spans="1:57" x14ac:dyDescent="0.25">
      <c r="A63" s="347"/>
      <c r="B63" s="366" t="s">
        <v>24</v>
      </c>
      <c r="C63" s="367"/>
      <c r="D63" s="352">
        <f>D25*1.05</f>
        <v>63</v>
      </c>
      <c r="F63" s="359"/>
      <c r="H63" s="359"/>
      <c r="J63" s="209"/>
      <c r="L63" s="209"/>
      <c r="N63" s="209"/>
      <c r="P63" s="209"/>
      <c r="R63" s="209"/>
      <c r="T63" s="209"/>
      <c r="V63" s="209"/>
      <c r="X63" s="209"/>
      <c r="Z63" s="209"/>
      <c r="AB63" s="359"/>
      <c r="AC63" s="360"/>
      <c r="AD63" s="354"/>
      <c r="AE63" s="181"/>
      <c r="BC63" s="355"/>
      <c r="BE63" s="181"/>
    </row>
    <row r="64" spans="1:57" x14ac:dyDescent="0.25">
      <c r="A64" s="347"/>
      <c r="B64" s="366" t="s">
        <v>29</v>
      </c>
      <c r="C64" s="367"/>
      <c r="D64" s="352">
        <f>D26*1.05</f>
        <v>525</v>
      </c>
      <c r="F64" s="359"/>
      <c r="H64" s="359"/>
      <c r="J64" s="209"/>
      <c r="L64" s="209"/>
      <c r="N64" s="209"/>
      <c r="P64" s="209"/>
      <c r="R64" s="209"/>
      <c r="T64" s="209"/>
      <c r="V64" s="209"/>
      <c r="X64" s="209"/>
      <c r="Z64" s="209"/>
      <c r="AB64" s="359"/>
      <c r="AC64" s="360"/>
      <c r="AD64" s="354"/>
      <c r="AE64" s="181"/>
      <c r="BC64" s="355"/>
      <c r="BE64" s="181"/>
    </row>
    <row r="65" spans="1:57" x14ac:dyDescent="0.25">
      <c r="A65" s="347"/>
      <c r="B65" s="366" t="s">
        <v>28</v>
      </c>
      <c r="C65" s="367"/>
      <c r="D65" s="352">
        <f>D27*1.05</f>
        <v>105</v>
      </c>
      <c r="F65" s="359"/>
      <c r="H65" s="359"/>
      <c r="J65" s="209"/>
      <c r="L65" s="209"/>
      <c r="N65" s="209"/>
      <c r="P65" s="209"/>
      <c r="R65" s="209"/>
      <c r="T65" s="209"/>
      <c r="V65" s="209"/>
      <c r="X65" s="209"/>
      <c r="Z65" s="209"/>
      <c r="AB65" s="359"/>
      <c r="AC65" s="360"/>
      <c r="AD65" s="354"/>
      <c r="AE65" s="181"/>
      <c r="BC65" s="355"/>
      <c r="BE65" s="181"/>
    </row>
    <row r="66" spans="1:57" ht="15.75" thickBot="1" x14ac:dyDescent="0.3">
      <c r="A66" s="347"/>
      <c r="B66" s="249"/>
      <c r="C66" s="32"/>
      <c r="D66" s="352">
        <f>D28*1.05</f>
        <v>0</v>
      </c>
      <c r="F66" s="209"/>
      <c r="H66" s="209"/>
      <c r="J66" s="209"/>
      <c r="L66" s="209"/>
      <c r="N66" s="209"/>
      <c r="P66" s="209"/>
      <c r="R66" s="209"/>
      <c r="T66" s="209"/>
      <c r="V66" s="209"/>
      <c r="X66" s="209"/>
      <c r="Z66" s="209"/>
      <c r="AB66" s="209"/>
      <c r="AC66" s="360"/>
      <c r="AD66" s="354"/>
      <c r="AE66" s="181"/>
      <c r="BC66" s="355"/>
      <c r="BE66" s="181"/>
    </row>
    <row r="67" spans="1:57" ht="15.75" thickBot="1" x14ac:dyDescent="0.3">
      <c r="A67" s="347"/>
      <c r="B67" s="65" t="s">
        <v>12</v>
      </c>
      <c r="C67" s="65"/>
      <c r="D67" s="188"/>
      <c r="E67" s="189"/>
      <c r="F67" s="357">
        <f>SUM(F59:F65)</f>
        <v>0</v>
      </c>
      <c r="G67" s="189"/>
      <c r="H67" s="357">
        <f>SUM(H59:H65)</f>
        <v>0</v>
      </c>
      <c r="I67" s="189"/>
      <c r="J67" s="357">
        <f>SUM(J59:J65)</f>
        <v>0</v>
      </c>
      <c r="K67" s="189"/>
      <c r="L67" s="357">
        <f>SUM(L59:L65)</f>
        <v>0</v>
      </c>
      <c r="M67" s="189"/>
      <c r="N67" s="357">
        <f>SUM(N59:N65)</f>
        <v>0</v>
      </c>
      <c r="O67" s="189"/>
      <c r="P67" s="357">
        <f>SUM(P59:P65)</f>
        <v>0</v>
      </c>
      <c r="Q67" s="189"/>
      <c r="R67" s="357">
        <f>SUM(R59:R65)</f>
        <v>0</v>
      </c>
      <c r="S67" s="189"/>
      <c r="T67" s="357">
        <f>SUM(T59:T65)</f>
        <v>0</v>
      </c>
      <c r="U67" s="189"/>
      <c r="V67" s="357">
        <f>SUM(V59:V65)</f>
        <v>0</v>
      </c>
      <c r="W67" s="189"/>
      <c r="X67" s="357">
        <f>SUM(X59:X65)</f>
        <v>0</v>
      </c>
      <c r="Y67" s="189"/>
      <c r="Z67" s="357">
        <f>SUM(Z59:Z65)</f>
        <v>0</v>
      </c>
      <c r="AA67" s="189"/>
      <c r="AB67" s="357">
        <f>SUM(AB59:AB65)</f>
        <v>0</v>
      </c>
      <c r="AC67" s="358">
        <f>H105+F105+AB67+V67+T67+R67+P67+N67+L67+J67+H67+F67+Z67+X67</f>
        <v>0</v>
      </c>
      <c r="AD67" s="190"/>
      <c r="AE67" s="181"/>
      <c r="BC67" s="355"/>
      <c r="BE67" s="181"/>
    </row>
    <row r="68" spans="1:57" ht="15.75" thickBot="1" x14ac:dyDescent="0.3">
      <c r="A68" s="347"/>
      <c r="B68" s="68"/>
      <c r="C68" s="68"/>
      <c r="D68" s="81"/>
      <c r="E68" s="4"/>
      <c r="F68" s="89"/>
      <c r="G68" s="4"/>
      <c r="H68" s="89"/>
      <c r="I68" s="4"/>
      <c r="J68" s="89"/>
      <c r="K68" s="4"/>
      <c r="L68" s="89"/>
      <c r="M68" s="4"/>
      <c r="N68" s="89"/>
      <c r="O68" s="4"/>
      <c r="P68" s="89"/>
      <c r="Q68" s="4"/>
      <c r="R68" s="89"/>
      <c r="S68" s="4"/>
      <c r="T68" s="89"/>
      <c r="U68" s="4"/>
      <c r="V68" s="89"/>
      <c r="W68" s="4"/>
      <c r="X68" s="89"/>
      <c r="Y68" s="4"/>
      <c r="Z68" s="89"/>
      <c r="AA68" s="4"/>
      <c r="AB68" s="89"/>
      <c r="AC68" s="363"/>
      <c r="AD68" s="75"/>
      <c r="AE68" s="181"/>
      <c r="BC68" s="355"/>
      <c r="BE68" s="181"/>
    </row>
    <row r="69" spans="1:57" ht="15.75" thickBot="1" x14ac:dyDescent="0.3">
      <c r="A69" s="347"/>
      <c r="B69" s="65" t="s">
        <v>141</v>
      </c>
      <c r="C69" s="65"/>
      <c r="D69" s="188"/>
      <c r="E69" s="189"/>
      <c r="F69" s="357">
        <f>F67+F57+F49</f>
        <v>0</v>
      </c>
      <c r="G69" s="189"/>
      <c r="H69" s="357">
        <f>H67+H57+H49</f>
        <v>0</v>
      </c>
      <c r="I69" s="189"/>
      <c r="J69" s="357">
        <f>J67+J57+J49</f>
        <v>0</v>
      </c>
      <c r="K69" s="189"/>
      <c r="L69" s="357">
        <f>L67+L57+L49</f>
        <v>0</v>
      </c>
      <c r="M69" s="189"/>
      <c r="N69" s="357">
        <f>N67+N57+N49</f>
        <v>0</v>
      </c>
      <c r="O69" s="189"/>
      <c r="P69" s="357">
        <f>P67+P57+P49</f>
        <v>0</v>
      </c>
      <c r="Q69" s="189"/>
      <c r="R69" s="357">
        <f>R67+R57+R49</f>
        <v>0</v>
      </c>
      <c r="S69" s="189"/>
      <c r="T69" s="357">
        <f>T67+T57+T49</f>
        <v>0</v>
      </c>
      <c r="U69" s="189"/>
      <c r="V69" s="357">
        <f>V67+V57+V49</f>
        <v>0</v>
      </c>
      <c r="W69" s="189"/>
      <c r="X69" s="357">
        <f>X67+X57+X49</f>
        <v>0</v>
      </c>
      <c r="Y69" s="189"/>
      <c r="Z69" s="357">
        <f>Z67+Z57+Z49</f>
        <v>0</v>
      </c>
      <c r="AA69" s="189"/>
      <c r="AB69" s="357">
        <f>AB67+AB57+AB49</f>
        <v>0</v>
      </c>
      <c r="AC69" s="358">
        <f>H107+F107+AB69+V69+T69+R69+P69+N69+L69+J69+H69+F69+Z69+X69</f>
        <v>0</v>
      </c>
      <c r="AD69" s="190"/>
      <c r="AE69" s="181"/>
      <c r="BC69" s="355"/>
      <c r="BE69" s="181"/>
    </row>
    <row r="70" spans="1:57" ht="15.75" thickBot="1" x14ac:dyDescent="0.3">
      <c r="A70" s="347"/>
      <c r="AE70" s="181"/>
      <c r="BC70" s="355"/>
      <c r="BE70" s="181"/>
    </row>
    <row r="71" spans="1:57" ht="15.75" thickBot="1" x14ac:dyDescent="0.3">
      <c r="A71" s="347"/>
      <c r="B71" s="65" t="s">
        <v>158</v>
      </c>
      <c r="C71" s="65"/>
      <c r="D71" s="188"/>
      <c r="E71" s="189"/>
      <c r="F71" s="357">
        <f>F69</f>
        <v>0</v>
      </c>
      <c r="G71" s="189"/>
      <c r="H71" s="357">
        <f>H69</f>
        <v>0</v>
      </c>
      <c r="I71" s="189"/>
      <c r="J71" s="357">
        <f>J69</f>
        <v>0</v>
      </c>
      <c r="K71" s="189"/>
      <c r="L71" s="357">
        <f>L69</f>
        <v>0</v>
      </c>
      <c r="M71" s="189"/>
      <c r="N71" s="357">
        <f>N69</f>
        <v>0</v>
      </c>
      <c r="O71" s="189"/>
      <c r="P71" s="357">
        <f>P69</f>
        <v>0</v>
      </c>
      <c r="Q71" s="189"/>
      <c r="R71" s="357">
        <f>R69</f>
        <v>0</v>
      </c>
      <c r="S71" s="189"/>
      <c r="T71" s="357">
        <f>T69</f>
        <v>0</v>
      </c>
      <c r="U71" s="189"/>
      <c r="V71" s="357">
        <f>V69</f>
        <v>0</v>
      </c>
      <c r="W71" s="189"/>
      <c r="X71" s="357">
        <f>X69</f>
        <v>0</v>
      </c>
      <c r="Y71" s="189"/>
      <c r="Z71" s="357">
        <f>Z69</f>
        <v>0</v>
      </c>
      <c r="AA71" s="189"/>
      <c r="AB71" s="357">
        <f>AB69</f>
        <v>0</v>
      </c>
      <c r="AC71" s="358">
        <f>H109+F109+AB71+V71+T71+R71+P71+N71+L71+J71+H71+F71+Z71+X71</f>
        <v>0</v>
      </c>
      <c r="AD71" s="190"/>
      <c r="AE71" s="181"/>
      <c r="BC71" s="355"/>
      <c r="BE71" s="181"/>
    </row>
    <row r="72" spans="1:57" hidden="1" x14ac:dyDescent="0.25">
      <c r="A72" s="348"/>
      <c r="B72" s="185">
        <v>0.4</v>
      </c>
      <c r="C72" s="100"/>
      <c r="D72" s="184">
        <f>1-(SUM(F42:F48)*0.7*$D$34)-1</f>
        <v>0</v>
      </c>
      <c r="E72" s="100"/>
      <c r="F72" s="364">
        <f>1-(SUM(H42:H48)*0.7*$D$34)-1</f>
        <v>0</v>
      </c>
      <c r="G72" s="100"/>
      <c r="H72" s="364">
        <f>1-(SUM(J42:J48)*0.7*$D$34)-1</f>
        <v>0</v>
      </c>
      <c r="I72" s="100"/>
      <c r="J72" s="364">
        <f>1-(SUM(L42:L48)*0.7*$D$34)-1</f>
        <v>0</v>
      </c>
      <c r="K72" s="100"/>
      <c r="L72" s="364">
        <f>1-(SUM(N42:N48)*0.7*$D$34)-1</f>
        <v>0</v>
      </c>
      <c r="M72" s="100"/>
      <c r="N72" s="364">
        <f>1-(SUM(P42:P48)*0.7*$D$34)-1</f>
        <v>0</v>
      </c>
      <c r="O72" s="100"/>
      <c r="P72" s="364">
        <f>1-(SUM(R42:R48)*0.7*$D$34)-1</f>
        <v>0</v>
      </c>
      <c r="Q72" s="100"/>
      <c r="R72" s="364">
        <f>1-(SUM(T42:T48)*0.7*$D$34)-1</f>
        <v>0</v>
      </c>
      <c r="S72" s="100"/>
      <c r="T72" s="364">
        <f>1-(SUM(V42:V48)*0.7*$D$34)-1</f>
        <v>0</v>
      </c>
      <c r="U72" s="100"/>
      <c r="V72" s="364">
        <f>1-(SUM(X42:X48)*0.7*$D$34)-1</f>
        <v>0</v>
      </c>
      <c r="W72" s="100"/>
      <c r="X72" s="364">
        <f>1-(SUM(Z42:Z48)*0.7*$D$34)-1</f>
        <v>0</v>
      </c>
      <c r="Y72" s="100"/>
      <c r="Z72" s="365">
        <f ca="1">SUM(AC34:BB34)</f>
        <v>-58904.599999999991</v>
      </c>
    </row>
    <row r="73" spans="1:57" ht="15.75" hidden="1" thickBot="1" x14ac:dyDescent="0.3">
      <c r="A73" s="348"/>
      <c r="B73" s="188"/>
      <c r="C73" s="189"/>
      <c r="D73" s="94">
        <f>F71+D72</f>
        <v>0</v>
      </c>
      <c r="E73" s="189"/>
      <c r="F73" s="357">
        <f>H71+F72</f>
        <v>0</v>
      </c>
      <c r="G73" s="189"/>
      <c r="H73" s="357">
        <f>J71+H72</f>
        <v>0</v>
      </c>
      <c r="I73" s="189"/>
      <c r="J73" s="357">
        <f>L71+J72</f>
        <v>0</v>
      </c>
      <c r="K73" s="189"/>
      <c r="L73" s="357">
        <f>N71+L72</f>
        <v>0</v>
      </c>
      <c r="M73" s="189"/>
      <c r="N73" s="357">
        <f>P71+N72</f>
        <v>0</v>
      </c>
      <c r="O73" s="189"/>
      <c r="P73" s="357">
        <f>R71+P72</f>
        <v>0</v>
      </c>
      <c r="Q73" s="189"/>
      <c r="R73" s="357">
        <f>T71+R72</f>
        <v>0</v>
      </c>
      <c r="S73" s="189"/>
      <c r="T73" s="357">
        <f>V71+T72</f>
        <v>0</v>
      </c>
      <c r="U73" s="189"/>
      <c r="V73" s="357">
        <f>X71+V72</f>
        <v>0</v>
      </c>
      <c r="W73" s="189"/>
      <c r="X73" s="357">
        <f>Z71+X72</f>
        <v>0</v>
      </c>
      <c r="Y73" s="189"/>
      <c r="Z73" s="357">
        <f ca="1">AB71+Z72</f>
        <v>198000.40000000002</v>
      </c>
    </row>
    <row r="74" spans="1:57" x14ac:dyDescent="0.25">
      <c r="A74" s="348"/>
      <c r="Z74" s="213"/>
    </row>
    <row r="75" spans="1:57" x14ac:dyDescent="0.25">
      <c r="A75" s="348"/>
      <c r="B75" s="99" t="s">
        <v>218</v>
      </c>
      <c r="Z75" s="213"/>
    </row>
  </sheetData>
  <mergeCells count="16">
    <mergeCell ref="A39:A71"/>
    <mergeCell ref="B60:C60"/>
    <mergeCell ref="B61:C61"/>
    <mergeCell ref="B62:C62"/>
    <mergeCell ref="B63:C63"/>
    <mergeCell ref="B64:C64"/>
    <mergeCell ref="B65:C65"/>
    <mergeCell ref="A1:A37"/>
    <mergeCell ref="B21:C21"/>
    <mergeCell ref="B22:C22"/>
    <mergeCell ref="B23:C23"/>
    <mergeCell ref="B24:C24"/>
    <mergeCell ref="B25:C25"/>
    <mergeCell ref="B26:C26"/>
    <mergeCell ref="B27:C27"/>
    <mergeCell ref="B59:C59"/>
  </mergeCells>
  <phoneticPr fontId="23" type="noConversion"/>
  <pageMargins left="0.7" right="0.7" top="0.75" bottom="0.75" header="0.3" footer="0.3"/>
  <pageSetup orientation="portrait" horizontalDpi="360" verticalDpi="36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7A348-C94B-4989-8EC9-F7B0E0F022A1}">
  <dimension ref="A1:AJ38"/>
  <sheetViews>
    <sheetView zoomScaleNormal="100" workbookViewId="0">
      <pane ySplit="1" topLeftCell="A2" activePane="bottomLeft" state="frozen"/>
      <selection activeCell="J38" sqref="J1:AJ38"/>
      <selection pane="bottomLeft" activeCell="J38" sqref="J1:AJ38"/>
    </sheetView>
  </sheetViews>
  <sheetFormatPr defaultColWidth="10.140625" defaultRowHeight="15" x14ac:dyDescent="0.25"/>
  <cols>
    <col min="1" max="1" width="3.5703125" bestFit="1" customWidth="1"/>
    <col min="2" max="2" width="13.140625" bestFit="1" customWidth="1"/>
    <col min="3" max="3" width="18.42578125" bestFit="1" customWidth="1"/>
    <col min="4" max="4" width="20.85546875" bestFit="1" customWidth="1"/>
    <col min="5" max="5" width="13.85546875" bestFit="1" customWidth="1"/>
    <col min="6" max="6" width="10.140625" style="2"/>
    <col min="7" max="7" width="12.42578125" bestFit="1" customWidth="1"/>
    <col min="8" max="8" width="14.5703125" bestFit="1" customWidth="1"/>
    <col min="9" max="9" width="0.85546875" customWidth="1"/>
    <col min="10" max="10" width="8.5703125" bestFit="1" customWidth="1"/>
    <col min="12" max="12" width="14.140625" bestFit="1" customWidth="1"/>
    <col min="14" max="14" width="14.140625" bestFit="1" customWidth="1"/>
    <col min="15" max="15" width="14.5703125" bestFit="1" customWidth="1"/>
    <col min="16" max="16" width="0.85546875" customWidth="1"/>
    <col min="17" max="17" width="9.42578125" bestFit="1" customWidth="1"/>
    <col min="19" max="19" width="14.140625" style="83" bestFit="1" customWidth="1"/>
    <col min="21" max="21" width="14.140625" bestFit="1" customWidth="1"/>
    <col min="22" max="22" width="14.5703125" bestFit="1" customWidth="1"/>
    <col min="23" max="23" width="0.85546875" customWidth="1"/>
    <col min="24" max="24" width="9.42578125" bestFit="1" customWidth="1"/>
    <col min="26" max="26" width="11.42578125" bestFit="1" customWidth="1"/>
    <col min="27" max="27" width="10.140625" bestFit="1" customWidth="1"/>
    <col min="28" max="28" width="11.42578125" bestFit="1" customWidth="1"/>
    <col min="29" max="29" width="16" bestFit="1" customWidth="1"/>
    <col min="30" max="30" width="0.42578125" customWidth="1"/>
    <col min="31" max="31" width="8.5703125" bestFit="1" customWidth="1"/>
    <col min="32" max="32" width="10.140625" bestFit="1" customWidth="1"/>
    <col min="33" max="33" width="11.42578125" bestFit="1" customWidth="1"/>
    <col min="34" max="34" width="10.140625" bestFit="1" customWidth="1"/>
    <col min="35" max="35" width="12.42578125" bestFit="1" customWidth="1"/>
    <col min="36" max="36" width="16" bestFit="1" customWidth="1"/>
  </cols>
  <sheetData>
    <row r="1" spans="1:36" ht="14.45" customHeight="1" x14ac:dyDescent="0.25">
      <c r="B1" s="66"/>
      <c r="C1" s="66"/>
      <c r="D1" s="66"/>
      <c r="E1" s="334" t="s">
        <v>65</v>
      </c>
      <c r="F1" s="5" t="s">
        <v>69</v>
      </c>
      <c r="G1" s="5"/>
      <c r="H1" s="332" t="s">
        <v>7</v>
      </c>
      <c r="I1" s="21"/>
      <c r="J1" s="8" t="s">
        <v>16</v>
      </c>
      <c r="K1" s="5" t="s">
        <v>66</v>
      </c>
      <c r="L1" s="4"/>
      <c r="M1" s="5" t="s">
        <v>67</v>
      </c>
      <c r="N1" s="4"/>
      <c r="O1" s="332" t="s">
        <v>52</v>
      </c>
      <c r="P1" s="48"/>
      <c r="Q1" s="8" t="s">
        <v>16</v>
      </c>
      <c r="R1" s="5" t="s">
        <v>68</v>
      </c>
      <c r="S1" s="89"/>
      <c r="T1" s="5" t="s">
        <v>70</v>
      </c>
      <c r="U1" s="4"/>
      <c r="V1" s="332" t="s">
        <v>9</v>
      </c>
      <c r="W1" s="48"/>
      <c r="X1" s="8" t="s">
        <v>16</v>
      </c>
      <c r="Y1" s="5" t="s">
        <v>71</v>
      </c>
      <c r="Z1" s="4"/>
      <c r="AA1" s="5" t="s">
        <v>72</v>
      </c>
      <c r="AB1" s="4"/>
      <c r="AC1" s="332" t="s">
        <v>8</v>
      </c>
      <c r="AD1" s="48"/>
      <c r="AE1" s="8" t="s">
        <v>16</v>
      </c>
      <c r="AF1" s="5" t="s">
        <v>73</v>
      </c>
      <c r="AG1" s="4"/>
      <c r="AH1" s="5" t="s">
        <v>74</v>
      </c>
      <c r="AI1" s="4"/>
      <c r="AJ1" s="332" t="s">
        <v>51</v>
      </c>
    </row>
    <row r="2" spans="1:36" ht="15" customHeight="1" thickBot="1" x14ac:dyDescent="0.3">
      <c r="B2" s="60"/>
      <c r="C2" s="4"/>
      <c r="D2" s="4"/>
      <c r="E2" s="335"/>
      <c r="F2" s="5" t="s">
        <v>13</v>
      </c>
      <c r="G2" s="5" t="s">
        <v>14</v>
      </c>
      <c r="H2" s="333"/>
      <c r="I2" s="22"/>
      <c r="J2" s="9" t="s">
        <v>15</v>
      </c>
      <c r="K2" s="5" t="s">
        <v>13</v>
      </c>
      <c r="L2" s="5" t="s">
        <v>14</v>
      </c>
      <c r="M2" s="5" t="s">
        <v>13</v>
      </c>
      <c r="N2" s="5" t="s">
        <v>14</v>
      </c>
      <c r="O2" s="333"/>
      <c r="P2" s="49"/>
      <c r="Q2" s="9" t="s">
        <v>15</v>
      </c>
      <c r="R2" s="5" t="s">
        <v>13</v>
      </c>
      <c r="S2" s="89" t="s">
        <v>14</v>
      </c>
      <c r="T2" s="5" t="s">
        <v>13</v>
      </c>
      <c r="U2" s="5" t="s">
        <v>14</v>
      </c>
      <c r="V2" s="333"/>
      <c r="W2" s="49"/>
      <c r="X2" s="9" t="s">
        <v>15</v>
      </c>
      <c r="Y2" s="5" t="s">
        <v>13</v>
      </c>
      <c r="Z2" s="5" t="s">
        <v>14</v>
      </c>
      <c r="AA2" s="5" t="s">
        <v>13</v>
      </c>
      <c r="AB2" s="5" t="s">
        <v>14</v>
      </c>
      <c r="AC2" s="333"/>
      <c r="AD2" s="49"/>
      <c r="AE2" s="9" t="s">
        <v>15</v>
      </c>
      <c r="AF2" s="5" t="s">
        <v>13</v>
      </c>
      <c r="AG2" s="5" t="s">
        <v>14</v>
      </c>
      <c r="AH2" s="5" t="s">
        <v>13</v>
      </c>
      <c r="AI2" s="5" t="s">
        <v>14</v>
      </c>
      <c r="AJ2" s="333"/>
    </row>
    <row r="3" spans="1:36" x14ac:dyDescent="0.25">
      <c r="A3" s="329" t="s">
        <v>145</v>
      </c>
      <c r="B3" s="76" t="s">
        <v>142</v>
      </c>
      <c r="C3" s="28" t="s">
        <v>53</v>
      </c>
      <c r="D3" s="28"/>
      <c r="E3" s="25">
        <v>5700</v>
      </c>
      <c r="F3" s="58">
        <v>110</v>
      </c>
      <c r="G3" s="27">
        <f t="shared" ref="G3:G14" si="0">F3*(E3/2)</f>
        <v>313500</v>
      </c>
      <c r="H3" s="53"/>
      <c r="I3" s="29"/>
      <c r="J3" s="77">
        <f t="shared" ref="J3:J14" si="1">E3*1.05</f>
        <v>5985</v>
      </c>
      <c r="K3" s="225">
        <v>110</v>
      </c>
      <c r="L3" s="27">
        <f>K3*(J3/2)</f>
        <v>329175</v>
      </c>
      <c r="M3" s="225">
        <v>140</v>
      </c>
      <c r="N3" s="27">
        <f t="shared" ref="N3:N14" si="2">M3*($J3/2)</f>
        <v>418950</v>
      </c>
      <c r="O3" s="53"/>
      <c r="P3" s="50"/>
      <c r="Q3" s="10">
        <f t="shared" ref="Q3:Q14" si="3">J3*1.05</f>
        <v>6284.25</v>
      </c>
      <c r="R3" s="225">
        <f t="shared" ref="R3:R14" si="4">M3</f>
        <v>140</v>
      </c>
      <c r="S3" s="27">
        <f>R3*(Q3/2)</f>
        <v>439897.5</v>
      </c>
      <c r="T3" s="225">
        <v>140</v>
      </c>
      <c r="U3" s="27">
        <f t="shared" ref="U3:U14" si="5">T3*($J3/2)</f>
        <v>418950</v>
      </c>
      <c r="V3" s="53"/>
      <c r="W3" s="50"/>
      <c r="X3" s="10">
        <f t="shared" ref="X3:X14" si="6">Q3*1.05</f>
        <v>6598.4625000000005</v>
      </c>
      <c r="Y3" s="225">
        <f t="shared" ref="Y3:Y14" si="7">T3</f>
        <v>140</v>
      </c>
      <c r="Z3" s="82">
        <f>Y3*(X3/2)</f>
        <v>461892.37500000006</v>
      </c>
      <c r="AA3" s="227">
        <v>140</v>
      </c>
      <c r="AB3" s="82">
        <f t="shared" ref="AB3:AB14" si="8">AA3*($J3/2)</f>
        <v>418950</v>
      </c>
      <c r="AC3" s="179"/>
      <c r="AD3" s="228"/>
      <c r="AE3" s="180">
        <f t="shared" ref="AE3:AE14" si="9">X3*1.05</f>
        <v>6928.3856250000008</v>
      </c>
      <c r="AF3" s="227">
        <f t="shared" ref="AF3:AF14" si="10">AA3</f>
        <v>140</v>
      </c>
      <c r="AG3" s="82">
        <f>AF3*(AE3/2)</f>
        <v>484986.99375000008</v>
      </c>
      <c r="AH3" s="227">
        <v>140</v>
      </c>
      <c r="AI3" s="82">
        <f t="shared" ref="AI3:AI14" si="11">AH3*($J3/2)</f>
        <v>418950</v>
      </c>
      <c r="AJ3" s="179"/>
    </row>
    <row r="4" spans="1:36" x14ac:dyDescent="0.25">
      <c r="A4" s="330"/>
      <c r="B4" s="61"/>
      <c r="C4" t="s">
        <v>54</v>
      </c>
      <c r="E4" s="12">
        <v>5700</v>
      </c>
      <c r="F4" s="59">
        <v>110</v>
      </c>
      <c r="G4" s="6">
        <f t="shared" si="0"/>
        <v>313500</v>
      </c>
      <c r="H4" s="54"/>
      <c r="I4" s="23"/>
      <c r="J4" s="78">
        <f t="shared" si="1"/>
        <v>5985</v>
      </c>
      <c r="K4" s="226">
        <v>110</v>
      </c>
      <c r="L4" s="6">
        <f>K4*($J4/2)</f>
        <v>329175</v>
      </c>
      <c r="M4" s="226">
        <f>F3</f>
        <v>110</v>
      </c>
      <c r="N4" s="6">
        <f t="shared" si="2"/>
        <v>329175</v>
      </c>
      <c r="O4" s="54"/>
      <c r="P4" s="51"/>
      <c r="Q4" s="10">
        <f t="shared" si="3"/>
        <v>6284.25</v>
      </c>
      <c r="R4" s="226">
        <f t="shared" si="4"/>
        <v>110</v>
      </c>
      <c r="S4" s="6">
        <f>R4*Q4/2</f>
        <v>345633.75</v>
      </c>
      <c r="T4" s="226">
        <f>M3</f>
        <v>140</v>
      </c>
      <c r="U4" s="6">
        <f t="shared" si="5"/>
        <v>418950</v>
      </c>
      <c r="V4" s="54"/>
      <c r="W4" s="51"/>
      <c r="X4" s="10">
        <f t="shared" si="6"/>
        <v>6598.4625000000005</v>
      </c>
      <c r="Y4" s="226">
        <f t="shared" si="7"/>
        <v>140</v>
      </c>
      <c r="Z4" s="83">
        <f>Y4*X4/2</f>
        <v>461892.37500000006</v>
      </c>
      <c r="AA4" s="127">
        <f>T3</f>
        <v>140</v>
      </c>
      <c r="AB4" s="83">
        <f t="shared" si="8"/>
        <v>418950</v>
      </c>
      <c r="AC4" s="180"/>
      <c r="AD4" s="229"/>
      <c r="AE4" s="180">
        <f t="shared" si="9"/>
        <v>6928.3856250000008</v>
      </c>
      <c r="AF4" s="127">
        <f t="shared" si="10"/>
        <v>140</v>
      </c>
      <c r="AG4" s="83">
        <f>AF4*AE4/2</f>
        <v>484986.99375000008</v>
      </c>
      <c r="AH4" s="127">
        <f>AA3</f>
        <v>140</v>
      </c>
      <c r="AI4" s="83">
        <f t="shared" si="11"/>
        <v>418950</v>
      </c>
      <c r="AJ4" s="180"/>
    </row>
    <row r="5" spans="1:36" x14ac:dyDescent="0.25">
      <c r="A5" s="330"/>
      <c r="B5" s="61"/>
      <c r="C5" t="s">
        <v>55</v>
      </c>
      <c r="E5" s="12">
        <v>5700</v>
      </c>
      <c r="F5" s="59">
        <v>80</v>
      </c>
      <c r="G5" s="6">
        <f t="shared" si="0"/>
        <v>228000</v>
      </c>
      <c r="H5" s="54"/>
      <c r="I5" s="23"/>
      <c r="J5" s="78">
        <f t="shared" si="1"/>
        <v>5985</v>
      </c>
      <c r="K5" s="226">
        <v>80</v>
      </c>
      <c r="L5" s="6">
        <f>K5*($J5/2)</f>
        <v>239400</v>
      </c>
      <c r="M5" s="226">
        <f>F4</f>
        <v>110</v>
      </c>
      <c r="N5" s="6">
        <f t="shared" si="2"/>
        <v>329175</v>
      </c>
      <c r="O5" s="54"/>
      <c r="P5" s="51"/>
      <c r="Q5" s="10">
        <f t="shared" si="3"/>
        <v>6284.25</v>
      </c>
      <c r="R5" s="226">
        <f t="shared" si="4"/>
        <v>110</v>
      </c>
      <c r="S5" s="6">
        <f>R5*Q5/2</f>
        <v>345633.75</v>
      </c>
      <c r="T5" s="226">
        <f>M4</f>
        <v>110</v>
      </c>
      <c r="U5" s="6">
        <f t="shared" si="5"/>
        <v>329175</v>
      </c>
      <c r="V5" s="54"/>
      <c r="W5" s="51"/>
      <c r="X5" s="10">
        <f t="shared" si="6"/>
        <v>6598.4625000000005</v>
      </c>
      <c r="Y5" s="226">
        <f t="shared" si="7"/>
        <v>110</v>
      </c>
      <c r="Z5" s="83">
        <f>Y5*X5/2</f>
        <v>362915.43750000006</v>
      </c>
      <c r="AA5" s="127">
        <f>T4</f>
        <v>140</v>
      </c>
      <c r="AB5" s="83">
        <f t="shared" si="8"/>
        <v>418950</v>
      </c>
      <c r="AC5" s="180"/>
      <c r="AD5" s="229"/>
      <c r="AE5" s="180">
        <f t="shared" si="9"/>
        <v>6928.3856250000008</v>
      </c>
      <c r="AF5" s="127">
        <f t="shared" si="10"/>
        <v>140</v>
      </c>
      <c r="AG5" s="83">
        <f>AF5*AE5/2</f>
        <v>484986.99375000008</v>
      </c>
      <c r="AH5" s="127">
        <f>AA4</f>
        <v>140</v>
      </c>
      <c r="AI5" s="83">
        <f t="shared" si="11"/>
        <v>418950</v>
      </c>
      <c r="AJ5" s="180"/>
    </row>
    <row r="6" spans="1:36" ht="15.75" thickBot="1" x14ac:dyDescent="0.3">
      <c r="A6" s="330"/>
      <c r="B6" s="62"/>
      <c r="C6" t="s">
        <v>56</v>
      </c>
      <c r="E6" s="12">
        <v>5700</v>
      </c>
      <c r="F6" s="57">
        <v>12</v>
      </c>
      <c r="G6" s="6">
        <f t="shared" si="0"/>
        <v>34200</v>
      </c>
      <c r="H6" s="90"/>
      <c r="I6" s="23"/>
      <c r="J6" s="78">
        <f t="shared" si="1"/>
        <v>5985</v>
      </c>
      <c r="K6" s="226">
        <v>12</v>
      </c>
      <c r="L6" s="6">
        <f>K6*($J6/2)</f>
        <v>35910</v>
      </c>
      <c r="M6" s="226">
        <f>F5*0.75</f>
        <v>60</v>
      </c>
      <c r="N6" s="6">
        <f t="shared" si="2"/>
        <v>179550</v>
      </c>
      <c r="O6" s="90"/>
      <c r="P6" s="51"/>
      <c r="Q6" s="10">
        <f t="shared" si="3"/>
        <v>6284.25</v>
      </c>
      <c r="R6" s="226">
        <f t="shared" si="4"/>
        <v>60</v>
      </c>
      <c r="S6" s="6">
        <f>R6*Q6/2</f>
        <v>188527.5</v>
      </c>
      <c r="T6" s="226">
        <f>M5*0.75</f>
        <v>82.5</v>
      </c>
      <c r="U6" s="6">
        <f t="shared" si="5"/>
        <v>246881.25</v>
      </c>
      <c r="V6" s="90"/>
      <c r="W6" s="51"/>
      <c r="X6" s="10">
        <f t="shared" si="6"/>
        <v>6598.4625000000005</v>
      </c>
      <c r="Y6" s="226">
        <f t="shared" si="7"/>
        <v>82.5</v>
      </c>
      <c r="Z6" s="83">
        <f>Y6*X6/2</f>
        <v>272186.578125</v>
      </c>
      <c r="AA6" s="127">
        <f>T5*0.75</f>
        <v>82.5</v>
      </c>
      <c r="AB6" s="83">
        <f t="shared" si="8"/>
        <v>246881.25</v>
      </c>
      <c r="AC6" s="230"/>
      <c r="AD6" s="229"/>
      <c r="AE6" s="180">
        <f t="shared" si="9"/>
        <v>6928.3856250000008</v>
      </c>
      <c r="AF6" s="127">
        <f t="shared" si="10"/>
        <v>82.5</v>
      </c>
      <c r="AG6" s="83">
        <f>AF6*AE6/2</f>
        <v>285795.90703125001</v>
      </c>
      <c r="AH6" s="127">
        <f>AA5*0.75</f>
        <v>105</v>
      </c>
      <c r="AI6" s="83">
        <f t="shared" si="11"/>
        <v>314212.5</v>
      </c>
      <c r="AJ6" s="230"/>
    </row>
    <row r="7" spans="1:36" x14ac:dyDescent="0.25">
      <c r="A7" s="330"/>
      <c r="B7" s="76" t="s">
        <v>143</v>
      </c>
      <c r="C7" s="28" t="s">
        <v>53</v>
      </c>
      <c r="D7" s="28"/>
      <c r="E7" s="25">
        <v>5700</v>
      </c>
      <c r="F7" s="58">
        <v>0</v>
      </c>
      <c r="G7" s="27">
        <f t="shared" si="0"/>
        <v>0</v>
      </c>
      <c r="H7" s="53"/>
      <c r="I7" s="29"/>
      <c r="J7" s="77">
        <f t="shared" si="1"/>
        <v>5985</v>
      </c>
      <c r="K7" s="225">
        <v>0</v>
      </c>
      <c r="L7" s="27">
        <f>K7*(J7/2)</f>
        <v>0</v>
      </c>
      <c r="M7" s="225">
        <v>25</v>
      </c>
      <c r="N7" s="27">
        <f t="shared" si="2"/>
        <v>74812.5</v>
      </c>
      <c r="O7" s="53"/>
      <c r="P7" s="50"/>
      <c r="Q7" s="10">
        <f t="shared" si="3"/>
        <v>6284.25</v>
      </c>
      <c r="R7" s="225">
        <f t="shared" si="4"/>
        <v>25</v>
      </c>
      <c r="S7" s="27">
        <f>R7*(Q7/2)</f>
        <v>78553.125</v>
      </c>
      <c r="T7" s="225">
        <v>60</v>
      </c>
      <c r="U7" s="27">
        <f t="shared" si="5"/>
        <v>179550</v>
      </c>
      <c r="V7" s="53"/>
      <c r="W7" s="50"/>
      <c r="X7" s="10">
        <f t="shared" si="6"/>
        <v>6598.4625000000005</v>
      </c>
      <c r="Y7" s="225">
        <f t="shared" si="7"/>
        <v>60</v>
      </c>
      <c r="Z7" s="82">
        <f>Y7*(X7/2)</f>
        <v>197953.87500000003</v>
      </c>
      <c r="AA7" s="227">
        <v>100</v>
      </c>
      <c r="AB7" s="82">
        <f t="shared" si="8"/>
        <v>299250</v>
      </c>
      <c r="AC7" s="179"/>
      <c r="AD7" s="228"/>
      <c r="AE7" s="180">
        <f t="shared" si="9"/>
        <v>6928.3856250000008</v>
      </c>
      <c r="AF7" s="227">
        <f t="shared" si="10"/>
        <v>100</v>
      </c>
      <c r="AG7" s="82">
        <f>AF7*(AE7/2)</f>
        <v>346419.28125000006</v>
      </c>
      <c r="AH7" s="227">
        <v>140</v>
      </c>
      <c r="AI7" s="82">
        <f t="shared" si="11"/>
        <v>418950</v>
      </c>
      <c r="AJ7" s="179"/>
    </row>
    <row r="8" spans="1:36" x14ac:dyDescent="0.25">
      <c r="A8" s="330"/>
      <c r="B8" s="61"/>
      <c r="C8" t="s">
        <v>54</v>
      </c>
      <c r="E8" s="12">
        <v>5700</v>
      </c>
      <c r="F8" s="59">
        <v>0</v>
      </c>
      <c r="G8" s="6">
        <f t="shared" si="0"/>
        <v>0</v>
      </c>
      <c r="H8" s="54"/>
      <c r="I8" s="23"/>
      <c r="J8" s="78">
        <f t="shared" si="1"/>
        <v>5985</v>
      </c>
      <c r="K8" s="226">
        <v>0</v>
      </c>
      <c r="L8" s="6">
        <f>K8*($J8/2)</f>
        <v>0</v>
      </c>
      <c r="M8" s="226">
        <f>F7</f>
        <v>0</v>
      </c>
      <c r="N8" s="6">
        <f t="shared" si="2"/>
        <v>0</v>
      </c>
      <c r="O8" s="54"/>
      <c r="P8" s="51"/>
      <c r="Q8" s="10">
        <f t="shared" si="3"/>
        <v>6284.25</v>
      </c>
      <c r="R8" s="226">
        <f t="shared" si="4"/>
        <v>0</v>
      </c>
      <c r="S8" s="6">
        <f>R8*Q8/2</f>
        <v>0</v>
      </c>
      <c r="T8" s="226">
        <f>M7</f>
        <v>25</v>
      </c>
      <c r="U8" s="6">
        <f t="shared" si="5"/>
        <v>74812.5</v>
      </c>
      <c r="V8" s="54"/>
      <c r="W8" s="51"/>
      <c r="X8" s="10">
        <f t="shared" si="6"/>
        <v>6598.4625000000005</v>
      </c>
      <c r="Y8" s="226">
        <f t="shared" si="7"/>
        <v>25</v>
      </c>
      <c r="Z8" s="83">
        <f>Y8*X8/2</f>
        <v>82480.78125</v>
      </c>
      <c r="AA8" s="127">
        <f>T7</f>
        <v>60</v>
      </c>
      <c r="AB8" s="83">
        <f t="shared" si="8"/>
        <v>179550</v>
      </c>
      <c r="AC8" s="180"/>
      <c r="AD8" s="229"/>
      <c r="AE8" s="180">
        <f t="shared" si="9"/>
        <v>6928.3856250000008</v>
      </c>
      <c r="AF8" s="127">
        <f t="shared" si="10"/>
        <v>60</v>
      </c>
      <c r="AG8" s="83">
        <f>AF8*AE8/2</f>
        <v>207851.56875000003</v>
      </c>
      <c r="AH8" s="127">
        <f>AA7</f>
        <v>100</v>
      </c>
      <c r="AI8" s="83">
        <f t="shared" si="11"/>
        <v>299250</v>
      </c>
      <c r="AJ8" s="180"/>
    </row>
    <row r="9" spans="1:36" x14ac:dyDescent="0.25">
      <c r="A9" s="330"/>
      <c r="B9" s="61"/>
      <c r="C9" t="s">
        <v>55</v>
      </c>
      <c r="E9" s="12">
        <v>5700</v>
      </c>
      <c r="F9" s="59">
        <v>0</v>
      </c>
      <c r="G9" s="6">
        <f t="shared" si="0"/>
        <v>0</v>
      </c>
      <c r="H9" s="54"/>
      <c r="I9" s="23"/>
      <c r="J9" s="78">
        <f t="shared" si="1"/>
        <v>5985</v>
      </c>
      <c r="K9" s="226">
        <v>0</v>
      </c>
      <c r="L9" s="6">
        <f>K9*($J9/2)</f>
        <v>0</v>
      </c>
      <c r="M9" s="226">
        <f>F8</f>
        <v>0</v>
      </c>
      <c r="N9" s="6">
        <f t="shared" si="2"/>
        <v>0</v>
      </c>
      <c r="O9" s="54"/>
      <c r="P9" s="51"/>
      <c r="Q9" s="10">
        <f t="shared" si="3"/>
        <v>6284.25</v>
      </c>
      <c r="R9" s="226">
        <f t="shared" si="4"/>
        <v>0</v>
      </c>
      <c r="S9" s="6">
        <f>R9*Q9/2</f>
        <v>0</v>
      </c>
      <c r="T9" s="226">
        <f>M8</f>
        <v>0</v>
      </c>
      <c r="U9" s="6">
        <f t="shared" si="5"/>
        <v>0</v>
      </c>
      <c r="V9" s="54"/>
      <c r="W9" s="51"/>
      <c r="X9" s="10">
        <f t="shared" si="6"/>
        <v>6598.4625000000005</v>
      </c>
      <c r="Y9" s="226">
        <f t="shared" si="7"/>
        <v>0</v>
      </c>
      <c r="Z9" s="83">
        <f>Y9*X9/2</f>
        <v>0</v>
      </c>
      <c r="AA9" s="127">
        <f>T8</f>
        <v>25</v>
      </c>
      <c r="AB9" s="83">
        <f t="shared" si="8"/>
        <v>74812.5</v>
      </c>
      <c r="AC9" s="180"/>
      <c r="AD9" s="229"/>
      <c r="AE9" s="180">
        <f t="shared" si="9"/>
        <v>6928.3856250000008</v>
      </c>
      <c r="AF9" s="127">
        <f t="shared" si="10"/>
        <v>25</v>
      </c>
      <c r="AG9" s="83">
        <f>AF9*AE9/2</f>
        <v>86604.820312500015</v>
      </c>
      <c r="AH9" s="127">
        <f>AA8</f>
        <v>60</v>
      </c>
      <c r="AI9" s="83">
        <f t="shared" si="11"/>
        <v>179550</v>
      </c>
      <c r="AJ9" s="180"/>
    </row>
    <row r="10" spans="1:36" ht="15.75" thickBot="1" x14ac:dyDescent="0.3">
      <c r="A10" s="330"/>
      <c r="B10" s="62"/>
      <c r="C10" t="s">
        <v>56</v>
      </c>
      <c r="E10" s="12">
        <v>5700</v>
      </c>
      <c r="F10" s="57">
        <v>0</v>
      </c>
      <c r="G10" s="6">
        <f t="shared" si="0"/>
        <v>0</v>
      </c>
      <c r="H10" s="90"/>
      <c r="I10" s="23"/>
      <c r="J10" s="78">
        <f t="shared" si="1"/>
        <v>5985</v>
      </c>
      <c r="K10" s="226">
        <v>0</v>
      </c>
      <c r="L10" s="6">
        <f>K10*($J10/2)</f>
        <v>0</v>
      </c>
      <c r="M10" s="226">
        <f>F9*0.75</f>
        <v>0</v>
      </c>
      <c r="N10" s="6">
        <f t="shared" si="2"/>
        <v>0</v>
      </c>
      <c r="O10" s="90"/>
      <c r="P10" s="51"/>
      <c r="Q10" s="10">
        <f t="shared" si="3"/>
        <v>6284.25</v>
      </c>
      <c r="R10" s="226">
        <f t="shared" si="4"/>
        <v>0</v>
      </c>
      <c r="S10" s="6">
        <f>R10*Q10/2</f>
        <v>0</v>
      </c>
      <c r="T10" s="226">
        <f>M9*0.75</f>
        <v>0</v>
      </c>
      <c r="U10" s="6">
        <f t="shared" si="5"/>
        <v>0</v>
      </c>
      <c r="V10" s="90"/>
      <c r="W10" s="51"/>
      <c r="X10" s="10">
        <f t="shared" si="6"/>
        <v>6598.4625000000005</v>
      </c>
      <c r="Y10" s="226">
        <f t="shared" si="7"/>
        <v>0</v>
      </c>
      <c r="Z10" s="83">
        <f>Y10*X10/2</f>
        <v>0</v>
      </c>
      <c r="AA10" s="127">
        <f>T9*0.75</f>
        <v>0</v>
      </c>
      <c r="AB10" s="83">
        <f t="shared" si="8"/>
        <v>0</v>
      </c>
      <c r="AC10" s="230"/>
      <c r="AD10" s="229"/>
      <c r="AE10" s="180">
        <f t="shared" si="9"/>
        <v>6928.3856250000008</v>
      </c>
      <c r="AF10" s="127">
        <f t="shared" si="10"/>
        <v>0</v>
      </c>
      <c r="AG10" s="83">
        <f>AF10*AE10/2</f>
        <v>0</v>
      </c>
      <c r="AH10" s="127">
        <f>AA9*0.75</f>
        <v>18.75</v>
      </c>
      <c r="AI10" s="83">
        <f t="shared" si="11"/>
        <v>56109.375</v>
      </c>
      <c r="AJ10" s="230"/>
    </row>
    <row r="11" spans="1:36" x14ac:dyDescent="0.25">
      <c r="A11" s="330"/>
      <c r="B11" s="76" t="s">
        <v>144</v>
      </c>
      <c r="C11" s="28" t="s">
        <v>53</v>
      </c>
      <c r="D11" s="28"/>
      <c r="E11" s="25">
        <v>5700</v>
      </c>
      <c r="F11" s="58">
        <v>0</v>
      </c>
      <c r="G11" s="27">
        <f t="shared" si="0"/>
        <v>0</v>
      </c>
      <c r="H11" s="53"/>
      <c r="I11" s="29"/>
      <c r="J11" s="77">
        <f t="shared" si="1"/>
        <v>5985</v>
      </c>
      <c r="K11" s="225">
        <v>0</v>
      </c>
      <c r="L11" s="27">
        <f>K11*(J11/2)</f>
        <v>0</v>
      </c>
      <c r="M11" s="225">
        <v>25</v>
      </c>
      <c r="N11" s="27">
        <f t="shared" si="2"/>
        <v>74812.5</v>
      </c>
      <c r="O11" s="53"/>
      <c r="P11" s="50"/>
      <c r="Q11" s="10">
        <f t="shared" si="3"/>
        <v>6284.25</v>
      </c>
      <c r="R11" s="225">
        <f t="shared" si="4"/>
        <v>25</v>
      </c>
      <c r="S11" s="27">
        <f>R11*(Q11/2)</f>
        <v>78553.125</v>
      </c>
      <c r="T11" s="225">
        <v>60</v>
      </c>
      <c r="U11" s="27">
        <f t="shared" si="5"/>
        <v>179550</v>
      </c>
      <c r="V11" s="53"/>
      <c r="W11" s="50"/>
      <c r="X11" s="10">
        <f t="shared" si="6"/>
        <v>6598.4625000000005</v>
      </c>
      <c r="Y11" s="225">
        <f t="shared" si="7"/>
        <v>60</v>
      </c>
      <c r="Z11" s="82">
        <f>Y11*(X11/2)</f>
        <v>197953.87500000003</v>
      </c>
      <c r="AA11" s="227">
        <v>100</v>
      </c>
      <c r="AB11" s="82">
        <f t="shared" si="8"/>
        <v>299250</v>
      </c>
      <c r="AC11" s="179"/>
      <c r="AD11" s="228"/>
      <c r="AE11" s="180">
        <f t="shared" si="9"/>
        <v>6928.3856250000008</v>
      </c>
      <c r="AF11" s="227">
        <f t="shared" si="10"/>
        <v>100</v>
      </c>
      <c r="AG11" s="82">
        <f>AF11*(AE11/2)</f>
        <v>346419.28125000006</v>
      </c>
      <c r="AH11" s="227">
        <v>140</v>
      </c>
      <c r="AI11" s="82">
        <f t="shared" si="11"/>
        <v>418950</v>
      </c>
      <c r="AJ11" s="179"/>
    </row>
    <row r="12" spans="1:36" x14ac:dyDescent="0.25">
      <c r="A12" s="330"/>
      <c r="B12" s="61"/>
      <c r="C12" t="s">
        <v>54</v>
      </c>
      <c r="E12" s="12">
        <v>5700</v>
      </c>
      <c r="F12" s="59">
        <v>0</v>
      </c>
      <c r="G12" s="6">
        <f t="shared" si="0"/>
        <v>0</v>
      </c>
      <c r="H12" s="54"/>
      <c r="I12" s="23"/>
      <c r="J12" s="78">
        <f t="shared" si="1"/>
        <v>5985</v>
      </c>
      <c r="K12" s="226">
        <v>0</v>
      </c>
      <c r="L12" s="6">
        <f>K12*($J12/2)</f>
        <v>0</v>
      </c>
      <c r="M12" s="226">
        <f>F11</f>
        <v>0</v>
      </c>
      <c r="N12" s="6">
        <f t="shared" si="2"/>
        <v>0</v>
      </c>
      <c r="O12" s="54"/>
      <c r="P12" s="51"/>
      <c r="Q12" s="10">
        <f t="shared" si="3"/>
        <v>6284.25</v>
      </c>
      <c r="R12" s="226">
        <f t="shared" si="4"/>
        <v>0</v>
      </c>
      <c r="S12" s="6">
        <f>R12*Q12/2</f>
        <v>0</v>
      </c>
      <c r="T12" s="226">
        <f>M11</f>
        <v>25</v>
      </c>
      <c r="U12" s="6">
        <f t="shared" si="5"/>
        <v>74812.5</v>
      </c>
      <c r="V12" s="54"/>
      <c r="W12" s="51"/>
      <c r="X12" s="10">
        <f t="shared" si="6"/>
        <v>6598.4625000000005</v>
      </c>
      <c r="Y12" s="226">
        <f t="shared" si="7"/>
        <v>25</v>
      </c>
      <c r="Z12" s="83">
        <f>Y12*X12/2</f>
        <v>82480.78125</v>
      </c>
      <c r="AA12" s="127">
        <f>T11</f>
        <v>60</v>
      </c>
      <c r="AB12" s="83">
        <f t="shared" si="8"/>
        <v>179550</v>
      </c>
      <c r="AC12" s="180"/>
      <c r="AD12" s="229"/>
      <c r="AE12" s="180">
        <f t="shared" si="9"/>
        <v>6928.3856250000008</v>
      </c>
      <c r="AF12" s="127">
        <f t="shared" si="10"/>
        <v>60</v>
      </c>
      <c r="AG12" s="83">
        <f>AF12*AE12/2</f>
        <v>207851.56875000003</v>
      </c>
      <c r="AH12" s="127">
        <f>AA11</f>
        <v>100</v>
      </c>
      <c r="AI12" s="83">
        <f t="shared" si="11"/>
        <v>299250</v>
      </c>
      <c r="AJ12" s="180"/>
    </row>
    <row r="13" spans="1:36" x14ac:dyDescent="0.25">
      <c r="A13" s="330"/>
      <c r="B13" s="61"/>
      <c r="C13" t="s">
        <v>55</v>
      </c>
      <c r="E13" s="12">
        <v>5700</v>
      </c>
      <c r="F13" s="59">
        <v>0</v>
      </c>
      <c r="G13" s="6">
        <f t="shared" si="0"/>
        <v>0</v>
      </c>
      <c r="H13" s="54"/>
      <c r="I13" s="23"/>
      <c r="J13" s="78">
        <f t="shared" si="1"/>
        <v>5985</v>
      </c>
      <c r="K13" s="226">
        <v>0</v>
      </c>
      <c r="L13" s="6">
        <f>K13*($J13/2)</f>
        <v>0</v>
      </c>
      <c r="M13" s="226">
        <f>F12</f>
        <v>0</v>
      </c>
      <c r="N13" s="6">
        <f t="shared" si="2"/>
        <v>0</v>
      </c>
      <c r="O13" s="54"/>
      <c r="P13" s="51"/>
      <c r="Q13" s="10">
        <f t="shared" si="3"/>
        <v>6284.25</v>
      </c>
      <c r="R13" s="226">
        <f t="shared" si="4"/>
        <v>0</v>
      </c>
      <c r="S13" s="6">
        <f>R13*Q13/2</f>
        <v>0</v>
      </c>
      <c r="T13" s="226">
        <f>M12</f>
        <v>0</v>
      </c>
      <c r="U13" s="6">
        <f t="shared" si="5"/>
        <v>0</v>
      </c>
      <c r="V13" s="54"/>
      <c r="W13" s="51"/>
      <c r="X13" s="10">
        <f t="shared" si="6"/>
        <v>6598.4625000000005</v>
      </c>
      <c r="Y13" s="226">
        <f t="shared" si="7"/>
        <v>0</v>
      </c>
      <c r="Z13" s="83">
        <f>Y13*X13/2</f>
        <v>0</v>
      </c>
      <c r="AA13" s="127">
        <f>T12</f>
        <v>25</v>
      </c>
      <c r="AB13" s="83">
        <f t="shared" si="8"/>
        <v>74812.5</v>
      </c>
      <c r="AC13" s="180"/>
      <c r="AD13" s="229"/>
      <c r="AE13" s="180">
        <f t="shared" si="9"/>
        <v>6928.3856250000008</v>
      </c>
      <c r="AF13" s="127">
        <f t="shared" si="10"/>
        <v>25</v>
      </c>
      <c r="AG13" s="83">
        <f>AF13*AE13/2</f>
        <v>86604.820312500015</v>
      </c>
      <c r="AH13" s="127">
        <f>AA12</f>
        <v>60</v>
      </c>
      <c r="AI13" s="83">
        <f t="shared" si="11"/>
        <v>179550</v>
      </c>
      <c r="AJ13" s="180"/>
    </row>
    <row r="14" spans="1:36" ht="15.75" thickBot="1" x14ac:dyDescent="0.3">
      <c r="A14" s="331"/>
      <c r="B14" s="62"/>
      <c r="C14" t="s">
        <v>56</v>
      </c>
      <c r="E14" s="12">
        <v>5700</v>
      </c>
      <c r="F14" s="57">
        <v>0</v>
      </c>
      <c r="G14" s="6">
        <f t="shared" si="0"/>
        <v>0</v>
      </c>
      <c r="H14" s="90"/>
      <c r="I14" s="23"/>
      <c r="J14" s="78">
        <f t="shared" si="1"/>
        <v>5985</v>
      </c>
      <c r="K14" s="226">
        <v>0</v>
      </c>
      <c r="L14" s="6">
        <f>K14*($J14/2)</f>
        <v>0</v>
      </c>
      <c r="M14" s="226">
        <f>F13*0.75</f>
        <v>0</v>
      </c>
      <c r="N14" s="6">
        <f t="shared" si="2"/>
        <v>0</v>
      </c>
      <c r="O14" s="90"/>
      <c r="P14" s="51"/>
      <c r="Q14" s="10">
        <f t="shared" si="3"/>
        <v>6284.25</v>
      </c>
      <c r="R14" s="226">
        <f t="shared" si="4"/>
        <v>0</v>
      </c>
      <c r="S14" s="6">
        <f>R14*Q14/2</f>
        <v>0</v>
      </c>
      <c r="T14" s="226">
        <f>M13*0.75</f>
        <v>0</v>
      </c>
      <c r="U14" s="6">
        <f t="shared" si="5"/>
        <v>0</v>
      </c>
      <c r="V14" s="90"/>
      <c r="W14" s="51"/>
      <c r="X14" s="10">
        <f t="shared" si="6"/>
        <v>6598.4625000000005</v>
      </c>
      <c r="Y14" s="226">
        <f t="shared" si="7"/>
        <v>0</v>
      </c>
      <c r="Z14" s="83">
        <f>Y14*X14/2</f>
        <v>0</v>
      </c>
      <c r="AA14" s="127">
        <f>T13*0.75</f>
        <v>0</v>
      </c>
      <c r="AB14" s="83">
        <f t="shared" si="8"/>
        <v>0</v>
      </c>
      <c r="AC14" s="230"/>
      <c r="AD14" s="229"/>
      <c r="AE14" s="180">
        <f t="shared" si="9"/>
        <v>6928.3856250000008</v>
      </c>
      <c r="AF14" s="127">
        <f t="shared" si="10"/>
        <v>0</v>
      </c>
      <c r="AG14" s="83">
        <f>AF14*AE14/2</f>
        <v>0</v>
      </c>
      <c r="AH14" s="127">
        <f>AA13*0.75</f>
        <v>18.75</v>
      </c>
      <c r="AI14" s="83">
        <f t="shared" si="11"/>
        <v>56109.375</v>
      </c>
      <c r="AJ14" s="230"/>
    </row>
    <row r="15" spans="1:36" ht="15.75" thickBot="1" x14ac:dyDescent="0.3">
      <c r="B15" s="63" t="s">
        <v>12</v>
      </c>
      <c r="C15" s="45"/>
      <c r="D15" s="45"/>
      <c r="E15" s="16"/>
      <c r="F15" s="218">
        <f>SUM(F3:F14)</f>
        <v>312</v>
      </c>
      <c r="G15" s="20">
        <f>SUM(G11:G14)</f>
        <v>0</v>
      </c>
      <c r="H15" s="87">
        <v>1874973</v>
      </c>
      <c r="I15" s="85"/>
      <c r="J15" s="86"/>
      <c r="K15" s="17">
        <f>SUM(K3:K14)</f>
        <v>312</v>
      </c>
      <c r="L15" s="20">
        <f>SUM(L3:L14)</f>
        <v>933660</v>
      </c>
      <c r="M15" s="17">
        <f>SUM(M3:M14)</f>
        <v>470</v>
      </c>
      <c r="N15" s="20">
        <f>SUM(N3:N14)</f>
        <v>1406475</v>
      </c>
      <c r="O15" s="87">
        <f>N15+L15</f>
        <v>2340135</v>
      </c>
      <c r="P15" s="88"/>
      <c r="Q15" s="86"/>
      <c r="R15" s="17">
        <f>SUM(R3:R14)</f>
        <v>470</v>
      </c>
      <c r="S15" s="20">
        <f>SUM(S3:S14)</f>
        <v>1476798.75</v>
      </c>
      <c r="T15" s="17">
        <f>SUM(T3:T14)</f>
        <v>642.5</v>
      </c>
      <c r="U15" s="20">
        <f>SUM(U3:U14)</f>
        <v>1922681.25</v>
      </c>
      <c r="V15" s="87">
        <f>U15+S15</f>
        <v>3399480</v>
      </c>
      <c r="W15" s="88"/>
      <c r="X15" s="86"/>
      <c r="Y15" s="17">
        <f>SUM(Y3:Y14)</f>
        <v>642.5</v>
      </c>
      <c r="Z15" s="20">
        <f>SUM(Z3:Z14)</f>
        <v>2119756.078125</v>
      </c>
      <c r="AA15" s="231">
        <f>SUM(AA3:AA14)</f>
        <v>872.5</v>
      </c>
      <c r="AB15" s="20">
        <f>SUM(AB3:AB14)</f>
        <v>2610956.25</v>
      </c>
      <c r="AC15" s="87">
        <f>AB15+Z15</f>
        <v>4730712.328125</v>
      </c>
      <c r="AD15" s="88"/>
      <c r="AE15" s="86"/>
      <c r="AF15" s="231">
        <f>SUM(AF3:AF14)</f>
        <v>872.5</v>
      </c>
      <c r="AG15" s="20">
        <f>SUM(AG3:AG14)</f>
        <v>3022508.2289062501</v>
      </c>
      <c r="AH15" s="231">
        <f>SUM(AH3:AH14)</f>
        <v>1162.5</v>
      </c>
      <c r="AI15" s="20">
        <f>SUM(AI3:AI14)</f>
        <v>3478781.25</v>
      </c>
      <c r="AJ15" s="87">
        <f>AI15+AG15</f>
        <v>6501289.4789062496</v>
      </c>
    </row>
    <row r="16" spans="1:36" x14ac:dyDescent="0.25">
      <c r="B16" s="71" t="s">
        <v>57</v>
      </c>
      <c r="C16" s="32" t="s">
        <v>58</v>
      </c>
      <c r="D16" s="32"/>
      <c r="E16" s="25">
        <v>950</v>
      </c>
      <c r="F16" s="67">
        <v>18</v>
      </c>
      <c r="G16" s="83">
        <f>E16*F16</f>
        <v>17100</v>
      </c>
      <c r="H16" s="54"/>
      <c r="I16" s="23"/>
      <c r="J16" s="78">
        <v>950</v>
      </c>
      <c r="K16" s="115">
        <v>18</v>
      </c>
      <c r="L16" s="6">
        <f>J16*K16</f>
        <v>17100</v>
      </c>
      <c r="M16" s="115">
        <f>K16*1.5</f>
        <v>27</v>
      </c>
      <c r="N16" s="6">
        <f>M16*J16</f>
        <v>25650</v>
      </c>
      <c r="O16" s="54"/>
      <c r="P16" s="51"/>
      <c r="Q16" s="10">
        <f>J16*1.05</f>
        <v>997.5</v>
      </c>
      <c r="R16" s="115">
        <f>M16*1.5</f>
        <v>40.5</v>
      </c>
      <c r="S16" s="6">
        <f>Q16*R16</f>
        <v>40398.75</v>
      </c>
      <c r="T16" s="115">
        <f>R16*1.5</f>
        <v>60.75</v>
      </c>
      <c r="U16" s="6">
        <f>T16*Q16</f>
        <v>60598.125</v>
      </c>
      <c r="V16" s="54"/>
      <c r="W16" s="51"/>
      <c r="X16" s="10">
        <f>Q16*1.05</f>
        <v>1047.375</v>
      </c>
      <c r="Y16" s="115">
        <f>T16*1.5</f>
        <v>91.125</v>
      </c>
      <c r="Z16" s="83">
        <f>X16*Y16</f>
        <v>95442.046875</v>
      </c>
      <c r="AA16" s="232">
        <f>Y16*1.5</f>
        <v>136.6875</v>
      </c>
      <c r="AB16" s="83">
        <f>AA16*X16</f>
        <v>143163.0703125</v>
      </c>
      <c r="AC16" s="180"/>
      <c r="AD16" s="229"/>
      <c r="AE16" s="180">
        <f>X16*1.05</f>
        <v>1099.7437500000001</v>
      </c>
      <c r="AF16" s="232">
        <f>AA16*1.5</f>
        <v>205.03125</v>
      </c>
      <c r="AG16" s="83">
        <f>AE16*AF16</f>
        <v>225481.83574218751</v>
      </c>
      <c r="AH16" s="232">
        <f>AF16*1.5</f>
        <v>307.546875</v>
      </c>
      <c r="AI16" s="83">
        <f>AH16*AE16</f>
        <v>338222.7536132813</v>
      </c>
      <c r="AJ16" s="180"/>
    </row>
    <row r="17" spans="2:36" x14ac:dyDescent="0.25">
      <c r="B17" s="64"/>
      <c r="C17" s="32" t="s">
        <v>59</v>
      </c>
      <c r="D17" s="32"/>
      <c r="E17" s="12">
        <v>950</v>
      </c>
      <c r="F17" s="67">
        <v>10</v>
      </c>
      <c r="G17" s="83">
        <f t="shared" ref="G17:G22" si="12">E17*F17</f>
        <v>9500</v>
      </c>
      <c r="H17" s="54"/>
      <c r="I17" s="23"/>
      <c r="J17" s="78">
        <v>950</v>
      </c>
      <c r="K17" s="115">
        <v>10</v>
      </c>
      <c r="L17" s="6">
        <f t="shared" ref="L17:L22" si="13">J17*K17</f>
        <v>9500</v>
      </c>
      <c r="M17" s="115">
        <f>K17*1.5</f>
        <v>15</v>
      </c>
      <c r="N17" s="6">
        <f t="shared" ref="N17:N22" si="14">M17*J17</f>
        <v>14250</v>
      </c>
      <c r="O17" s="54"/>
      <c r="P17" s="51"/>
      <c r="Q17" s="10">
        <f t="shared" ref="Q17:Q22" si="15">J17*1.05</f>
        <v>997.5</v>
      </c>
      <c r="R17" s="115">
        <f t="shared" ref="R17:R22" si="16">M17*1.5</f>
        <v>22.5</v>
      </c>
      <c r="S17" s="6">
        <f t="shared" ref="S17:S22" si="17">Q17*R17</f>
        <v>22443.75</v>
      </c>
      <c r="T17" s="115">
        <f t="shared" ref="T17:T22" si="18">R17*1.5</f>
        <v>33.75</v>
      </c>
      <c r="U17" s="6">
        <f t="shared" ref="U17:U22" si="19">T17*Q17</f>
        <v>33665.625</v>
      </c>
      <c r="V17" s="54"/>
      <c r="W17" s="51"/>
      <c r="X17" s="10">
        <f t="shared" ref="X17:X22" si="20">Q17*1.05</f>
        <v>1047.375</v>
      </c>
      <c r="Y17" s="115">
        <f t="shared" ref="Y17:Y22" si="21">T17*1.5</f>
        <v>50.625</v>
      </c>
      <c r="Z17" s="83">
        <f t="shared" ref="Z17:Z22" si="22">X17*Y17</f>
        <v>53023.359375</v>
      </c>
      <c r="AA17" s="232">
        <f t="shared" ref="AA17:AA22" si="23">Y17*1.5</f>
        <v>75.9375</v>
      </c>
      <c r="AB17" s="83">
        <f t="shared" ref="AB17:AB22" si="24">AA17*X17</f>
        <v>79535.0390625</v>
      </c>
      <c r="AC17" s="180"/>
      <c r="AD17" s="229"/>
      <c r="AE17" s="180">
        <f t="shared" ref="AE17:AE22" si="25">X17*1.05</f>
        <v>1099.7437500000001</v>
      </c>
      <c r="AF17" s="232">
        <f t="shared" ref="AF17:AF22" si="26">AA17*1.5</f>
        <v>113.90625</v>
      </c>
      <c r="AG17" s="83">
        <f t="shared" ref="AG17:AG22" si="27">AE17*AF17</f>
        <v>125267.68652343751</v>
      </c>
      <c r="AH17" s="232">
        <f t="shared" ref="AH17:AH22" si="28">AF17*1.5</f>
        <v>170.859375</v>
      </c>
      <c r="AI17" s="83">
        <f t="shared" ref="AI17:AI22" si="29">AH17*AE17</f>
        <v>187901.52978515628</v>
      </c>
      <c r="AJ17" s="180"/>
    </row>
    <row r="18" spans="2:36" x14ac:dyDescent="0.25">
      <c r="B18" s="54"/>
      <c r="C18" s="32" t="s">
        <v>60</v>
      </c>
      <c r="D18" s="32"/>
      <c r="E18" s="12">
        <v>950</v>
      </c>
      <c r="F18" s="67">
        <v>3</v>
      </c>
      <c r="G18" s="83">
        <f t="shared" si="12"/>
        <v>2850</v>
      </c>
      <c r="H18" s="54"/>
      <c r="I18" s="23"/>
      <c r="J18" s="78">
        <v>950</v>
      </c>
      <c r="K18" s="115">
        <v>3</v>
      </c>
      <c r="L18" s="6">
        <f t="shared" si="13"/>
        <v>2850</v>
      </c>
      <c r="M18" s="115">
        <f>K18*1.5</f>
        <v>4.5</v>
      </c>
      <c r="N18" s="6">
        <f t="shared" si="14"/>
        <v>4275</v>
      </c>
      <c r="O18" s="54"/>
      <c r="P18" s="51"/>
      <c r="Q18" s="10">
        <f t="shared" si="15"/>
        <v>997.5</v>
      </c>
      <c r="R18" s="115">
        <f t="shared" si="16"/>
        <v>6.75</v>
      </c>
      <c r="S18" s="6">
        <f t="shared" si="17"/>
        <v>6733.125</v>
      </c>
      <c r="T18" s="115">
        <f t="shared" si="18"/>
        <v>10.125</v>
      </c>
      <c r="U18" s="6">
        <f t="shared" si="19"/>
        <v>10099.6875</v>
      </c>
      <c r="V18" s="54"/>
      <c r="W18" s="51"/>
      <c r="X18" s="10">
        <f t="shared" si="20"/>
        <v>1047.375</v>
      </c>
      <c r="Y18" s="115">
        <f t="shared" si="21"/>
        <v>15.1875</v>
      </c>
      <c r="Z18" s="83">
        <f t="shared" si="22"/>
        <v>15907.0078125</v>
      </c>
      <c r="AA18" s="232">
        <f t="shared" si="23"/>
        <v>22.78125</v>
      </c>
      <c r="AB18" s="83">
        <f t="shared" si="24"/>
        <v>23860.51171875</v>
      </c>
      <c r="AC18" s="180"/>
      <c r="AD18" s="229"/>
      <c r="AE18" s="180">
        <f t="shared" si="25"/>
        <v>1099.7437500000001</v>
      </c>
      <c r="AF18" s="232">
        <f t="shared" si="26"/>
        <v>34.171875</v>
      </c>
      <c r="AG18" s="83">
        <f t="shared" si="27"/>
        <v>37580.305957031254</v>
      </c>
      <c r="AH18" s="232">
        <f t="shared" si="28"/>
        <v>51.2578125</v>
      </c>
      <c r="AI18" s="83">
        <f t="shared" si="29"/>
        <v>56370.458935546878</v>
      </c>
      <c r="AJ18" s="180"/>
    </row>
    <row r="19" spans="2:36" x14ac:dyDescent="0.25">
      <c r="B19" s="54"/>
      <c r="C19" s="32" t="s">
        <v>61</v>
      </c>
      <c r="D19" s="32"/>
      <c r="E19" s="12">
        <v>950</v>
      </c>
      <c r="F19" s="67">
        <v>15</v>
      </c>
      <c r="G19" s="83">
        <f t="shared" si="12"/>
        <v>14250</v>
      </c>
      <c r="H19" s="54"/>
      <c r="I19" s="23"/>
      <c r="J19" s="78">
        <v>950</v>
      </c>
      <c r="K19" s="115">
        <v>15</v>
      </c>
      <c r="L19" s="6">
        <f t="shared" si="13"/>
        <v>14250</v>
      </c>
      <c r="M19" s="115">
        <f>K19*1.5</f>
        <v>22.5</v>
      </c>
      <c r="N19" s="6">
        <f t="shared" si="14"/>
        <v>21375</v>
      </c>
      <c r="O19" s="54"/>
      <c r="P19" s="51"/>
      <c r="Q19" s="10">
        <f t="shared" si="15"/>
        <v>997.5</v>
      </c>
      <c r="R19" s="115">
        <f t="shared" si="16"/>
        <v>33.75</v>
      </c>
      <c r="S19" s="6">
        <f t="shared" si="17"/>
        <v>33665.625</v>
      </c>
      <c r="T19" s="115">
        <f t="shared" si="18"/>
        <v>50.625</v>
      </c>
      <c r="U19" s="6">
        <f t="shared" si="19"/>
        <v>50498.4375</v>
      </c>
      <c r="V19" s="54"/>
      <c r="W19" s="51"/>
      <c r="X19" s="10">
        <f t="shared" si="20"/>
        <v>1047.375</v>
      </c>
      <c r="Y19" s="115">
        <f t="shared" si="21"/>
        <v>75.9375</v>
      </c>
      <c r="Z19" s="83">
        <f t="shared" si="22"/>
        <v>79535.0390625</v>
      </c>
      <c r="AA19" s="232">
        <f t="shared" si="23"/>
        <v>113.90625</v>
      </c>
      <c r="AB19" s="83">
        <f t="shared" si="24"/>
        <v>119302.55859375</v>
      </c>
      <c r="AC19" s="180"/>
      <c r="AD19" s="229"/>
      <c r="AE19" s="180">
        <f t="shared" si="25"/>
        <v>1099.7437500000001</v>
      </c>
      <c r="AF19" s="232">
        <f t="shared" si="26"/>
        <v>170.859375</v>
      </c>
      <c r="AG19" s="83">
        <f t="shared" si="27"/>
        <v>187901.52978515628</v>
      </c>
      <c r="AH19" s="232">
        <f t="shared" si="28"/>
        <v>256.2890625</v>
      </c>
      <c r="AI19" s="83">
        <f t="shared" si="29"/>
        <v>281852.29467773438</v>
      </c>
      <c r="AJ19" s="180"/>
    </row>
    <row r="20" spans="2:36" x14ac:dyDescent="0.25">
      <c r="B20" s="54"/>
      <c r="C20" s="32" t="s">
        <v>143</v>
      </c>
      <c r="D20" s="32"/>
      <c r="E20" s="12">
        <v>950</v>
      </c>
      <c r="F20" s="67"/>
      <c r="G20" s="83">
        <f>E20*F20</f>
        <v>0</v>
      </c>
      <c r="H20" s="54"/>
      <c r="I20" s="23"/>
      <c r="J20" s="78">
        <v>950</v>
      </c>
      <c r="K20" s="115"/>
      <c r="L20" s="6">
        <f>J20*K20</f>
        <v>0</v>
      </c>
      <c r="M20" s="115">
        <v>30</v>
      </c>
      <c r="N20" s="6">
        <f>M20*J20</f>
        <v>28500</v>
      </c>
      <c r="O20" s="54"/>
      <c r="P20" s="51"/>
      <c r="Q20" s="10">
        <f>J20*1.05</f>
        <v>997.5</v>
      </c>
      <c r="R20" s="115">
        <f>M20*1.5</f>
        <v>45</v>
      </c>
      <c r="S20" s="6">
        <f>Q20*R20</f>
        <v>44887.5</v>
      </c>
      <c r="T20" s="115">
        <f t="shared" si="18"/>
        <v>67.5</v>
      </c>
      <c r="U20" s="6">
        <f>T20*Q20</f>
        <v>67331.25</v>
      </c>
      <c r="V20" s="54"/>
      <c r="W20" s="51"/>
      <c r="X20" s="10">
        <f>Q20*1.05</f>
        <v>1047.375</v>
      </c>
      <c r="Y20" s="115">
        <f>T20*1.5</f>
        <v>101.25</v>
      </c>
      <c r="Z20" s="83">
        <f>X20*Y20</f>
        <v>106046.71875</v>
      </c>
      <c r="AA20" s="232">
        <f>Y20*1.5</f>
        <v>151.875</v>
      </c>
      <c r="AB20" s="83">
        <f>AA20*X20</f>
        <v>159070.078125</v>
      </c>
      <c r="AC20" s="180"/>
      <c r="AD20" s="229"/>
      <c r="AE20" s="180">
        <f>X20*1.05</f>
        <v>1099.7437500000001</v>
      </c>
      <c r="AF20" s="232">
        <f>AA20*1.5</f>
        <v>227.8125</v>
      </c>
      <c r="AG20" s="83">
        <f>AE20*AF20</f>
        <v>250535.37304687503</v>
      </c>
      <c r="AH20" s="232">
        <f>AF20*1.5</f>
        <v>341.71875</v>
      </c>
      <c r="AI20" s="83">
        <f>AH20*AE20</f>
        <v>375803.05957031256</v>
      </c>
      <c r="AJ20" s="180"/>
    </row>
    <row r="21" spans="2:36" x14ac:dyDescent="0.25">
      <c r="B21" s="54"/>
      <c r="C21" s="32" t="s">
        <v>144</v>
      </c>
      <c r="D21" s="32"/>
      <c r="E21" s="12">
        <v>950</v>
      </c>
      <c r="F21" s="67"/>
      <c r="G21" s="83">
        <f>E21*F21</f>
        <v>0</v>
      </c>
      <c r="H21" s="54"/>
      <c r="I21" s="23"/>
      <c r="J21" s="78">
        <v>950</v>
      </c>
      <c r="K21" s="115"/>
      <c r="L21" s="6">
        <f>J21*K21</f>
        <v>0</v>
      </c>
      <c r="M21" s="115">
        <v>30</v>
      </c>
      <c r="N21" s="6">
        <f>M21*J21</f>
        <v>28500</v>
      </c>
      <c r="O21" s="54"/>
      <c r="P21" s="51"/>
      <c r="Q21" s="10">
        <f>J21*1.05</f>
        <v>997.5</v>
      </c>
      <c r="R21" s="115">
        <f>M21*1.5</f>
        <v>45</v>
      </c>
      <c r="S21" s="6">
        <f>Q21*R21</f>
        <v>44887.5</v>
      </c>
      <c r="T21" s="115">
        <f t="shared" si="18"/>
        <v>67.5</v>
      </c>
      <c r="U21" s="6">
        <f>T21*Q21</f>
        <v>67331.25</v>
      </c>
      <c r="V21" s="54"/>
      <c r="W21" s="51"/>
      <c r="X21" s="10">
        <f>Q21*1.05</f>
        <v>1047.375</v>
      </c>
      <c r="Y21" s="115">
        <f>T21*1.5</f>
        <v>101.25</v>
      </c>
      <c r="Z21" s="83">
        <f>X21*Y21</f>
        <v>106046.71875</v>
      </c>
      <c r="AA21" s="232">
        <f>Y21*1.5</f>
        <v>151.875</v>
      </c>
      <c r="AB21" s="83">
        <f>AA21*X21</f>
        <v>159070.078125</v>
      </c>
      <c r="AC21" s="180"/>
      <c r="AD21" s="229"/>
      <c r="AE21" s="180">
        <f>X21*1.05</f>
        <v>1099.7437500000001</v>
      </c>
      <c r="AF21" s="232">
        <f>AA21*1.5</f>
        <v>227.8125</v>
      </c>
      <c r="AG21" s="83">
        <f>AE21*AF21</f>
        <v>250535.37304687503</v>
      </c>
      <c r="AH21" s="232">
        <f>AF21*1.5</f>
        <v>341.71875</v>
      </c>
      <c r="AI21" s="83">
        <f>AH21*AE21</f>
        <v>375803.05957031256</v>
      </c>
      <c r="AJ21" s="180"/>
    </row>
    <row r="22" spans="2:36" ht="15.75" thickBot="1" x14ac:dyDescent="0.3">
      <c r="B22" s="54"/>
      <c r="C22" s="32" t="s">
        <v>64</v>
      </c>
      <c r="D22" s="32"/>
      <c r="E22" s="12">
        <v>950</v>
      </c>
      <c r="F22" s="67">
        <v>0</v>
      </c>
      <c r="G22" s="83">
        <f t="shared" si="12"/>
        <v>0</v>
      </c>
      <c r="H22" s="54"/>
      <c r="I22" s="23"/>
      <c r="J22" s="78">
        <v>950</v>
      </c>
      <c r="K22" s="115">
        <v>5</v>
      </c>
      <c r="L22" s="6">
        <f t="shared" si="13"/>
        <v>4750</v>
      </c>
      <c r="M22" s="115">
        <v>30</v>
      </c>
      <c r="N22" s="6">
        <f t="shared" si="14"/>
        <v>28500</v>
      </c>
      <c r="O22" s="54"/>
      <c r="P22" s="51"/>
      <c r="Q22" s="10">
        <f t="shared" si="15"/>
        <v>997.5</v>
      </c>
      <c r="R22" s="115">
        <f t="shared" si="16"/>
        <v>45</v>
      </c>
      <c r="S22" s="6">
        <f t="shared" si="17"/>
        <v>44887.5</v>
      </c>
      <c r="T22" s="115">
        <f t="shared" si="18"/>
        <v>67.5</v>
      </c>
      <c r="U22" s="6">
        <f t="shared" si="19"/>
        <v>67331.25</v>
      </c>
      <c r="V22" s="54"/>
      <c r="W22" s="51"/>
      <c r="X22" s="10">
        <f t="shared" si="20"/>
        <v>1047.375</v>
      </c>
      <c r="Y22" s="115">
        <f t="shared" si="21"/>
        <v>101.25</v>
      </c>
      <c r="Z22" s="83">
        <f t="shared" si="22"/>
        <v>106046.71875</v>
      </c>
      <c r="AA22" s="232">
        <f t="shared" si="23"/>
        <v>151.875</v>
      </c>
      <c r="AB22" s="83">
        <f t="shared" si="24"/>
        <v>159070.078125</v>
      </c>
      <c r="AC22" s="180"/>
      <c r="AD22" s="229"/>
      <c r="AE22" s="180">
        <f t="shared" si="25"/>
        <v>1099.7437500000001</v>
      </c>
      <c r="AF22" s="232">
        <f t="shared" si="26"/>
        <v>227.8125</v>
      </c>
      <c r="AG22" s="83">
        <f t="shared" si="27"/>
        <v>250535.37304687503</v>
      </c>
      <c r="AH22" s="232">
        <f t="shared" si="28"/>
        <v>341.71875</v>
      </c>
      <c r="AI22" s="83">
        <f t="shared" si="29"/>
        <v>375803.05957031256</v>
      </c>
      <c r="AJ22" s="180"/>
    </row>
    <row r="23" spans="2:36" ht="15.75" thickBot="1" x14ac:dyDescent="0.3">
      <c r="B23" s="65" t="s">
        <v>12</v>
      </c>
      <c r="C23" s="45"/>
      <c r="D23" s="45"/>
      <c r="E23" s="16"/>
      <c r="F23" s="17"/>
      <c r="G23" s="20">
        <f>SUM(G16:G22)</f>
        <v>43700</v>
      </c>
      <c r="H23" s="55">
        <f>G23</f>
        <v>43700</v>
      </c>
      <c r="I23" s="30"/>
      <c r="J23" s="79"/>
      <c r="K23" s="17"/>
      <c r="L23" s="20">
        <f>SUM(L16:L22)</f>
        <v>48450</v>
      </c>
      <c r="M23" s="17"/>
      <c r="N23" s="18">
        <f>SUM(N16:N22)</f>
        <v>151050</v>
      </c>
      <c r="O23" s="55">
        <f>N23+L23</f>
        <v>199500</v>
      </c>
      <c r="P23" s="52"/>
      <c r="Q23" s="19"/>
      <c r="R23" s="17"/>
      <c r="S23" s="20">
        <f>SUM(S16:S22)</f>
        <v>237903.75</v>
      </c>
      <c r="T23" s="17"/>
      <c r="U23" s="18">
        <f>SUM(U16:U22)</f>
        <v>356855.625</v>
      </c>
      <c r="V23" s="55">
        <f>U23+S23</f>
        <v>594759.375</v>
      </c>
      <c r="W23" s="52"/>
      <c r="X23" s="19"/>
      <c r="Y23" s="17"/>
      <c r="Z23" s="20">
        <f>SUM(Z16:Z22)</f>
        <v>562047.609375</v>
      </c>
      <c r="AA23" s="231"/>
      <c r="AB23" s="20">
        <f>SUM(AB16:AB22)</f>
        <v>843071.4140625</v>
      </c>
      <c r="AC23" s="55">
        <f>AB23+Z23</f>
        <v>1405119.0234375</v>
      </c>
      <c r="AD23" s="52"/>
      <c r="AE23" s="233"/>
      <c r="AF23" s="231"/>
      <c r="AG23" s="20">
        <f>SUM(AG16:AG22)</f>
        <v>1327837.4771484376</v>
      </c>
      <c r="AH23" s="231"/>
      <c r="AI23" s="20">
        <f>SUM(AI16:AI22)</f>
        <v>1991756.2157226563</v>
      </c>
      <c r="AJ23" s="55">
        <f>AI23+AG23</f>
        <v>3319593.6928710938</v>
      </c>
    </row>
    <row r="24" spans="2:36" s="46" customFormat="1" x14ac:dyDescent="0.25">
      <c r="B24" s="71" t="s">
        <v>163</v>
      </c>
      <c r="C24" s="70" t="s">
        <v>164</v>
      </c>
      <c r="D24" s="70"/>
      <c r="E24" s="72">
        <v>1000</v>
      </c>
      <c r="F24" s="115">
        <f>SUM(F25:F27)</f>
        <v>30</v>
      </c>
      <c r="G24" s="84">
        <f>F24*E24</f>
        <v>30000</v>
      </c>
      <c r="H24" s="68"/>
      <c r="I24" s="73"/>
      <c r="J24" s="80">
        <v>1000</v>
      </c>
      <c r="K24" s="115">
        <f>SUM(K25:K27)</f>
        <v>90</v>
      </c>
      <c r="L24" s="84">
        <f>K24*J24</f>
        <v>90000</v>
      </c>
      <c r="M24" s="115">
        <f>K24*1.4</f>
        <v>125.99999999999999</v>
      </c>
      <c r="N24" s="6">
        <f>M24*J24</f>
        <v>125999.99999999999</v>
      </c>
      <c r="O24" s="68"/>
      <c r="P24" s="74"/>
      <c r="Q24" s="10">
        <f>J24*1.05</f>
        <v>1050</v>
      </c>
      <c r="R24" s="115">
        <f>M24*1.5</f>
        <v>188.99999999999997</v>
      </c>
      <c r="S24" s="84">
        <f>R24*Q24</f>
        <v>198449.99999999997</v>
      </c>
      <c r="T24" s="115">
        <f>R24*1.4</f>
        <v>264.59999999999997</v>
      </c>
      <c r="U24" s="6">
        <f>T24*Q24</f>
        <v>277829.99999999994</v>
      </c>
      <c r="V24" s="68"/>
      <c r="W24" s="74"/>
      <c r="X24" s="10">
        <f>Q24*1.05</f>
        <v>1102.5</v>
      </c>
      <c r="Y24" s="115">
        <f>T24*1.5</f>
        <v>396.9</v>
      </c>
      <c r="Z24" s="84">
        <f>Y24*X24</f>
        <v>437582.25</v>
      </c>
      <c r="AA24" s="232">
        <f>Y24*1.4</f>
        <v>555.66</v>
      </c>
      <c r="AB24" s="83">
        <f>AA24*X24</f>
        <v>612615.14999999991</v>
      </c>
      <c r="AC24" s="234"/>
      <c r="AD24" s="235"/>
      <c r="AE24" s="180">
        <f>X24*1.05</f>
        <v>1157.625</v>
      </c>
      <c r="AF24" s="232">
        <f>AA24*1.5</f>
        <v>833.49</v>
      </c>
      <c r="AG24" s="84">
        <f>AF24*AE24</f>
        <v>964868.86124999996</v>
      </c>
      <c r="AH24" s="232">
        <f>AF24*1.4</f>
        <v>1166.886</v>
      </c>
      <c r="AI24" s="83">
        <f>AH24*AE24</f>
        <v>1350816.4057499999</v>
      </c>
      <c r="AJ24" s="234"/>
    </row>
    <row r="25" spans="2:36" x14ac:dyDescent="0.25">
      <c r="B25" s="71" t="s">
        <v>62</v>
      </c>
      <c r="C25" s="69"/>
      <c r="D25" s="69" t="s">
        <v>83</v>
      </c>
      <c r="E25" s="12"/>
      <c r="F25" s="2">
        <v>30</v>
      </c>
      <c r="G25" s="83">
        <f>E$24*F25</f>
        <v>30000</v>
      </c>
      <c r="H25" s="54"/>
      <c r="I25" s="23"/>
      <c r="J25" s="78">
        <f>E25*1.05</f>
        <v>0</v>
      </c>
      <c r="K25" s="115">
        <v>30</v>
      </c>
      <c r="L25" s="6">
        <f>J25*K25</f>
        <v>0</v>
      </c>
      <c r="M25" s="115">
        <f>K25*1.4</f>
        <v>42</v>
      </c>
      <c r="N25" s="6">
        <f>M25*J25</f>
        <v>0</v>
      </c>
      <c r="O25" s="54"/>
      <c r="P25" s="51"/>
      <c r="Q25" s="10">
        <f>J25*1.05</f>
        <v>0</v>
      </c>
      <c r="R25" s="115">
        <f>M25*1.5</f>
        <v>63</v>
      </c>
      <c r="S25" s="6">
        <f>Q25*R25</f>
        <v>0</v>
      </c>
      <c r="T25" s="115">
        <f>R25*1.4</f>
        <v>88.199999999999989</v>
      </c>
      <c r="U25" s="6">
        <f>T25*Q25</f>
        <v>0</v>
      </c>
      <c r="V25" s="54"/>
      <c r="W25" s="51"/>
      <c r="X25" s="10">
        <f>Q25*1.05</f>
        <v>0</v>
      </c>
      <c r="Y25" s="115"/>
      <c r="Z25" s="83">
        <f>X25*Y25</f>
        <v>0</v>
      </c>
      <c r="AA25" s="232">
        <f>Y25*1.5</f>
        <v>0</v>
      </c>
      <c r="AB25" s="83">
        <f>AA25*X25</f>
        <v>0</v>
      </c>
      <c r="AC25" s="180"/>
      <c r="AD25" s="229"/>
      <c r="AE25" s="180">
        <f>X25*1.05</f>
        <v>0</v>
      </c>
      <c r="AF25" s="232">
        <f>AA25*1.5</f>
        <v>0</v>
      </c>
      <c r="AG25" s="83">
        <f>AE25*AF25</f>
        <v>0</v>
      </c>
      <c r="AH25" s="232">
        <f>AF25*1.5</f>
        <v>0</v>
      </c>
      <c r="AI25" s="83">
        <f>AH25*AE25</f>
        <v>0</v>
      </c>
      <c r="AJ25" s="180"/>
    </row>
    <row r="26" spans="2:36" x14ac:dyDescent="0.25">
      <c r="B26" s="64"/>
      <c r="C26" s="69"/>
      <c r="D26" s="69" t="s">
        <v>84</v>
      </c>
      <c r="E26" s="12"/>
      <c r="G26" s="83">
        <f>E$24*F26</f>
        <v>0</v>
      </c>
      <c r="H26" s="54"/>
      <c r="I26" s="23"/>
      <c r="J26" s="78">
        <f>E26*1.05</f>
        <v>0</v>
      </c>
      <c r="K26" s="115">
        <v>30</v>
      </c>
      <c r="L26" s="6">
        <f>J26*K26</f>
        <v>0</v>
      </c>
      <c r="M26" s="115">
        <f>K26*1.4</f>
        <v>42</v>
      </c>
      <c r="N26" s="6">
        <f>M26*J26</f>
        <v>0</v>
      </c>
      <c r="O26" s="54"/>
      <c r="P26" s="51"/>
      <c r="Q26" s="10">
        <f>J26*1.05</f>
        <v>0</v>
      </c>
      <c r="R26" s="115">
        <f>M26*1.5</f>
        <v>63</v>
      </c>
      <c r="S26" s="6">
        <f>Q26*R26</f>
        <v>0</v>
      </c>
      <c r="T26" s="115">
        <f>R26*1.4</f>
        <v>88.199999999999989</v>
      </c>
      <c r="U26" s="6">
        <f>T26*Q26</f>
        <v>0</v>
      </c>
      <c r="V26" s="54"/>
      <c r="W26" s="51"/>
      <c r="X26" s="10">
        <f>Q26*1.05</f>
        <v>0</v>
      </c>
      <c r="Y26" s="115"/>
      <c r="Z26" s="83">
        <f>X26*Y26</f>
        <v>0</v>
      </c>
      <c r="AA26" s="232">
        <f>Y26*1.5</f>
        <v>0</v>
      </c>
      <c r="AB26" s="83">
        <f>AA26*X26</f>
        <v>0</v>
      </c>
      <c r="AC26" s="180"/>
      <c r="AD26" s="229"/>
      <c r="AE26" s="180">
        <f>X26*1.05</f>
        <v>0</v>
      </c>
      <c r="AF26" s="232">
        <f>AA26*1.5</f>
        <v>0</v>
      </c>
      <c r="AG26" s="83">
        <f>AE26*AF26</f>
        <v>0</v>
      </c>
      <c r="AH26" s="232">
        <f>AF26*1.5</f>
        <v>0</v>
      </c>
      <c r="AI26" s="83">
        <f>AH26*AE26</f>
        <v>0</v>
      </c>
      <c r="AJ26" s="180"/>
    </row>
    <row r="27" spans="2:36" ht="15.75" thickBot="1" x14ac:dyDescent="0.3">
      <c r="B27" s="64"/>
      <c r="C27" s="69"/>
      <c r="D27" s="69" t="s">
        <v>85</v>
      </c>
      <c r="E27" s="12"/>
      <c r="G27" s="83">
        <f>E$24*F27</f>
        <v>0</v>
      </c>
      <c r="H27" s="54"/>
      <c r="I27" s="23"/>
      <c r="J27" s="78">
        <f>E27*1.05</f>
        <v>0</v>
      </c>
      <c r="K27" s="115">
        <v>30</v>
      </c>
      <c r="L27" s="6">
        <f>J27*K27</f>
        <v>0</v>
      </c>
      <c r="M27" s="115">
        <f>K27*1.4</f>
        <v>42</v>
      </c>
      <c r="N27" s="6">
        <f>M27*J27</f>
        <v>0</v>
      </c>
      <c r="O27" s="54"/>
      <c r="P27" s="51"/>
      <c r="Q27" s="10">
        <f>J27*1.05</f>
        <v>0</v>
      </c>
      <c r="R27" s="115">
        <f>M27*1.5</f>
        <v>63</v>
      </c>
      <c r="S27" s="6">
        <f>Q27*R27</f>
        <v>0</v>
      </c>
      <c r="T27" s="115">
        <f>R27*1.4</f>
        <v>88.199999999999989</v>
      </c>
      <c r="U27" s="6">
        <f>T27*Q27</f>
        <v>0</v>
      </c>
      <c r="V27" s="54"/>
      <c r="W27" s="51"/>
      <c r="X27" s="10">
        <f>Q27*1.05</f>
        <v>0</v>
      </c>
      <c r="Y27" s="115"/>
      <c r="Z27" s="83">
        <f>X27*Y27</f>
        <v>0</v>
      </c>
      <c r="AA27" s="232">
        <f>Y27*1.5</f>
        <v>0</v>
      </c>
      <c r="AB27" s="83">
        <f>AA27*X27</f>
        <v>0</v>
      </c>
      <c r="AC27" s="180"/>
      <c r="AD27" s="229"/>
      <c r="AE27" s="180">
        <f>X27*1.05</f>
        <v>0</v>
      </c>
      <c r="AF27" s="232">
        <f>AA27*1.5</f>
        <v>0</v>
      </c>
      <c r="AG27" s="83">
        <f>AE27*AF27</f>
        <v>0</v>
      </c>
      <c r="AH27" s="232">
        <f>AF27*1.5</f>
        <v>0</v>
      </c>
      <c r="AI27" s="83">
        <f>AH27*AE27</f>
        <v>0</v>
      </c>
      <c r="AJ27" s="180"/>
    </row>
    <row r="28" spans="2:36" ht="15.75" thickBot="1" x14ac:dyDescent="0.3">
      <c r="B28" s="65" t="s">
        <v>12</v>
      </c>
      <c r="C28" s="45"/>
      <c r="D28" s="45"/>
      <c r="E28" s="16"/>
      <c r="F28" s="17"/>
      <c r="G28" s="20">
        <f>SUM(G24:G27)</f>
        <v>60000</v>
      </c>
      <c r="H28" s="55">
        <f>G28</f>
        <v>60000</v>
      </c>
      <c r="I28" s="30"/>
      <c r="J28" s="79"/>
      <c r="K28" s="17"/>
      <c r="L28" s="20">
        <f>SUM(L24:L27)</f>
        <v>90000</v>
      </c>
      <c r="M28" s="17"/>
      <c r="N28" s="18">
        <f>SUM(N24:N27)</f>
        <v>125999.99999999999</v>
      </c>
      <c r="O28" s="55">
        <f>N28+L28</f>
        <v>216000</v>
      </c>
      <c r="P28" s="52"/>
      <c r="Q28" s="19"/>
      <c r="R28" s="17"/>
      <c r="S28" s="20">
        <f>SUM(S24:S27)</f>
        <v>198449.99999999997</v>
      </c>
      <c r="T28" s="17"/>
      <c r="U28" s="18">
        <f>SUM(U24:U27)</f>
        <v>277829.99999999994</v>
      </c>
      <c r="V28" s="55">
        <f>U28+S28</f>
        <v>476279.99999999988</v>
      </c>
      <c r="W28" s="52"/>
      <c r="X28" s="19"/>
      <c r="Y28" s="17"/>
      <c r="Z28" s="20">
        <f>SUM(Z24:Z27)</f>
        <v>437582.25</v>
      </c>
      <c r="AA28" s="231"/>
      <c r="AB28" s="20">
        <f>SUM(AB24:AB27)</f>
        <v>612615.14999999991</v>
      </c>
      <c r="AC28" s="55">
        <f>AB28+Z28</f>
        <v>1050197.3999999999</v>
      </c>
      <c r="AD28" s="52"/>
      <c r="AE28" s="233"/>
      <c r="AF28" s="231"/>
      <c r="AG28" s="20">
        <f>SUM(AG24:AG27)</f>
        <v>964868.86124999996</v>
      </c>
      <c r="AH28" s="231"/>
      <c r="AI28" s="20">
        <f>SUM(AI24:AI27)</f>
        <v>1350816.4057499999</v>
      </c>
      <c r="AJ28" s="55">
        <f>AI28+AG28</f>
        <v>2315685.267</v>
      </c>
    </row>
    <row r="29" spans="2:36" s="46" customFormat="1" x14ac:dyDescent="0.25">
      <c r="B29" s="71" t="s">
        <v>75</v>
      </c>
      <c r="C29" s="70" t="s">
        <v>76</v>
      </c>
      <c r="D29" s="70"/>
      <c r="E29" s="72">
        <v>1000</v>
      </c>
      <c r="F29" s="4">
        <f>SUM(F30:F33)</f>
        <v>37</v>
      </c>
      <c r="G29" s="84">
        <f>F29*$E$29</f>
        <v>37000</v>
      </c>
      <c r="H29" s="68"/>
      <c r="I29" s="73"/>
      <c r="J29" s="80">
        <v>1000</v>
      </c>
      <c r="K29" s="115">
        <v>50</v>
      </c>
      <c r="L29" s="84">
        <f>K29*J$29</f>
        <v>50000</v>
      </c>
      <c r="M29" s="115">
        <f>K29*1.4</f>
        <v>70</v>
      </c>
      <c r="N29" s="83">
        <f>M29*J$29</f>
        <v>70000</v>
      </c>
      <c r="O29" s="68"/>
      <c r="P29" s="74"/>
      <c r="Q29" s="10">
        <f>J29*1.05</f>
        <v>1050</v>
      </c>
      <c r="R29" s="115">
        <f>M29*1.5</f>
        <v>105</v>
      </c>
      <c r="S29" s="84">
        <f>R29*Q$29</f>
        <v>110250</v>
      </c>
      <c r="T29" s="115">
        <f>R29*1.4</f>
        <v>147</v>
      </c>
      <c r="U29" s="83">
        <f>T29*Q$29</f>
        <v>154350</v>
      </c>
      <c r="V29" s="68"/>
      <c r="W29" s="74"/>
      <c r="X29" s="10">
        <f>Q29*1.05</f>
        <v>1102.5</v>
      </c>
      <c r="Y29" s="115">
        <f>T29*1.5</f>
        <v>220.5</v>
      </c>
      <c r="Z29" s="84">
        <f>Y29*X$29</f>
        <v>243101.25</v>
      </c>
      <c r="AA29" s="232">
        <f>Y29*1.4</f>
        <v>308.7</v>
      </c>
      <c r="AB29" s="83">
        <f>AA29*X$29</f>
        <v>340341.75</v>
      </c>
      <c r="AC29" s="234"/>
      <c r="AD29" s="235"/>
      <c r="AE29" s="180">
        <f>X29*1.05</f>
        <v>1157.625</v>
      </c>
      <c r="AF29" s="232">
        <f>AA29*1.5</f>
        <v>463.04999999999995</v>
      </c>
      <c r="AG29" s="84">
        <f>AF29*AE$29</f>
        <v>536038.25624999998</v>
      </c>
      <c r="AH29" s="232">
        <f>AF29*1.4</f>
        <v>648.26999999999987</v>
      </c>
      <c r="AI29" s="83">
        <f>AH29*AE$29</f>
        <v>750453.55874999985</v>
      </c>
      <c r="AJ29" s="234"/>
    </row>
    <row r="30" spans="2:36" x14ac:dyDescent="0.25">
      <c r="B30" s="64"/>
      <c r="C30" s="69"/>
      <c r="D30" s="69" t="s">
        <v>79</v>
      </c>
      <c r="E30" s="12"/>
      <c r="F30" s="2">
        <v>10</v>
      </c>
      <c r="G30" s="83"/>
      <c r="H30" s="54"/>
      <c r="I30" s="23"/>
      <c r="J30" s="78">
        <f>E30*1.05</f>
        <v>0</v>
      </c>
      <c r="K30" s="115"/>
      <c r="L30" s="83"/>
      <c r="M30" s="115">
        <f>K30*1.5</f>
        <v>0</v>
      </c>
      <c r="N30" s="83"/>
      <c r="O30" s="54"/>
      <c r="P30" s="51"/>
      <c r="Q30" s="10">
        <f t="shared" ref="Q30:Q35" si="30">J30*1.05</f>
        <v>0</v>
      </c>
      <c r="R30" s="115">
        <f t="shared" ref="R30:R36" si="31">M30*1.5</f>
        <v>0</v>
      </c>
      <c r="T30" s="115">
        <f t="shared" ref="T30:T36" si="32">R30*1.5</f>
        <v>0</v>
      </c>
      <c r="U30" s="83"/>
      <c r="V30" s="54"/>
      <c r="W30" s="51"/>
      <c r="X30" s="10">
        <f t="shared" ref="X30:X35" si="33">Q30*1.05</f>
        <v>0</v>
      </c>
      <c r="Y30" s="115">
        <f t="shared" ref="Y30:Y36" si="34">T30*1.5</f>
        <v>0</v>
      </c>
      <c r="Z30" s="83"/>
      <c r="AA30" s="232">
        <f t="shared" ref="AA30:AA36" si="35">Y30*1.5</f>
        <v>0</v>
      </c>
      <c r="AB30" s="83"/>
      <c r="AC30" s="180"/>
      <c r="AD30" s="229"/>
      <c r="AE30" s="180">
        <f t="shared" ref="AE30:AE35" si="36">X30*1.05</f>
        <v>0</v>
      </c>
      <c r="AF30" s="232">
        <f t="shared" ref="AF30:AF36" si="37">AA30*1.5</f>
        <v>0</v>
      </c>
      <c r="AG30" s="83"/>
      <c r="AH30" s="232">
        <f t="shared" ref="AH30:AH36" si="38">AF30*1.5</f>
        <v>0</v>
      </c>
      <c r="AI30" s="83"/>
      <c r="AJ30" s="180"/>
    </row>
    <row r="31" spans="2:36" x14ac:dyDescent="0.25">
      <c r="B31" s="64"/>
      <c r="C31" s="69"/>
      <c r="D31" s="69" t="s">
        <v>80</v>
      </c>
      <c r="E31" s="12"/>
      <c r="F31" s="2">
        <v>7</v>
      </c>
      <c r="G31" s="83"/>
      <c r="H31" s="54"/>
      <c r="I31" s="23"/>
      <c r="J31" s="81">
        <f>E31*1.05</f>
        <v>0</v>
      </c>
      <c r="K31" s="115"/>
      <c r="L31" s="83"/>
      <c r="M31" s="115">
        <f>K31*1.5</f>
        <v>0</v>
      </c>
      <c r="N31" s="83"/>
      <c r="O31" s="54"/>
      <c r="P31" s="51"/>
      <c r="Q31" s="10">
        <f t="shared" si="30"/>
        <v>0</v>
      </c>
      <c r="R31" s="115">
        <f t="shared" si="31"/>
        <v>0</v>
      </c>
      <c r="T31" s="115">
        <f t="shared" si="32"/>
        <v>0</v>
      </c>
      <c r="U31" s="83"/>
      <c r="V31" s="54"/>
      <c r="W31" s="51"/>
      <c r="X31" s="10">
        <f t="shared" si="33"/>
        <v>0</v>
      </c>
      <c r="Y31" s="115">
        <f t="shared" si="34"/>
        <v>0</v>
      </c>
      <c r="Z31" s="83"/>
      <c r="AA31" s="232">
        <f t="shared" si="35"/>
        <v>0</v>
      </c>
      <c r="AB31" s="83"/>
      <c r="AC31" s="180"/>
      <c r="AD31" s="229"/>
      <c r="AE31" s="180">
        <f t="shared" si="36"/>
        <v>0</v>
      </c>
      <c r="AF31" s="232">
        <f t="shared" si="37"/>
        <v>0</v>
      </c>
      <c r="AG31" s="83"/>
      <c r="AH31" s="232">
        <f t="shared" si="38"/>
        <v>0</v>
      </c>
      <c r="AI31" s="83"/>
      <c r="AJ31" s="180"/>
    </row>
    <row r="32" spans="2:36" x14ac:dyDescent="0.25">
      <c r="B32" s="64"/>
      <c r="C32" s="69"/>
      <c r="D32" s="69" t="s">
        <v>81</v>
      </c>
      <c r="E32" s="12"/>
      <c r="F32" s="2">
        <v>15</v>
      </c>
      <c r="G32" s="83"/>
      <c r="H32" s="54"/>
      <c r="I32" s="23"/>
      <c r="J32" s="78">
        <f>E32*1.05</f>
        <v>0</v>
      </c>
      <c r="K32" s="115"/>
      <c r="L32" s="83"/>
      <c r="M32" s="115">
        <f>K32*1.5</f>
        <v>0</v>
      </c>
      <c r="N32" s="83"/>
      <c r="O32" s="54"/>
      <c r="P32" s="51"/>
      <c r="Q32" s="10">
        <f t="shared" si="30"/>
        <v>0</v>
      </c>
      <c r="R32" s="115">
        <f t="shared" si="31"/>
        <v>0</v>
      </c>
      <c r="T32" s="115">
        <f t="shared" si="32"/>
        <v>0</v>
      </c>
      <c r="U32" s="83"/>
      <c r="V32" s="54"/>
      <c r="W32" s="51"/>
      <c r="X32" s="10">
        <f t="shared" si="33"/>
        <v>0</v>
      </c>
      <c r="Y32" s="115">
        <f t="shared" si="34"/>
        <v>0</v>
      </c>
      <c r="Z32" s="83"/>
      <c r="AA32" s="232">
        <f t="shared" si="35"/>
        <v>0</v>
      </c>
      <c r="AB32" s="83"/>
      <c r="AC32" s="180"/>
      <c r="AD32" s="229"/>
      <c r="AE32" s="180">
        <f t="shared" si="36"/>
        <v>0</v>
      </c>
      <c r="AF32" s="232">
        <f t="shared" si="37"/>
        <v>0</v>
      </c>
      <c r="AG32" s="83"/>
      <c r="AH32" s="232">
        <f t="shared" si="38"/>
        <v>0</v>
      </c>
      <c r="AI32" s="83"/>
      <c r="AJ32" s="180"/>
    </row>
    <row r="33" spans="2:36" x14ac:dyDescent="0.25">
      <c r="B33" s="64"/>
      <c r="C33" s="69"/>
      <c r="D33" s="69" t="s">
        <v>82</v>
      </c>
      <c r="E33" s="12"/>
      <c r="F33" s="2">
        <v>5</v>
      </c>
      <c r="G33" s="83"/>
      <c r="H33" s="54"/>
      <c r="I33" s="23"/>
      <c r="J33" s="81">
        <f>E33*1.05</f>
        <v>0</v>
      </c>
      <c r="K33" s="115"/>
      <c r="L33" s="83"/>
      <c r="M33" s="115">
        <f>K33*1.5</f>
        <v>0</v>
      </c>
      <c r="N33" s="83"/>
      <c r="O33" s="54"/>
      <c r="P33" s="51"/>
      <c r="Q33" s="10">
        <f t="shared" si="30"/>
        <v>0</v>
      </c>
      <c r="R33" s="115">
        <f t="shared" si="31"/>
        <v>0</v>
      </c>
      <c r="T33" s="115">
        <f t="shared" si="32"/>
        <v>0</v>
      </c>
      <c r="U33" s="83"/>
      <c r="V33" s="54"/>
      <c r="W33" s="51"/>
      <c r="X33" s="10">
        <f t="shared" si="33"/>
        <v>0</v>
      </c>
      <c r="Y33" s="115">
        <f t="shared" si="34"/>
        <v>0</v>
      </c>
      <c r="Z33" s="83"/>
      <c r="AA33" s="232">
        <f t="shared" si="35"/>
        <v>0</v>
      </c>
      <c r="AB33" s="83"/>
      <c r="AC33" s="180"/>
      <c r="AD33" s="229"/>
      <c r="AE33" s="180">
        <f t="shared" si="36"/>
        <v>0</v>
      </c>
      <c r="AF33" s="232">
        <f t="shared" si="37"/>
        <v>0</v>
      </c>
      <c r="AG33" s="83"/>
      <c r="AH33" s="232">
        <f t="shared" si="38"/>
        <v>0</v>
      </c>
      <c r="AI33" s="83"/>
      <c r="AJ33" s="180"/>
    </row>
    <row r="34" spans="2:36" x14ac:dyDescent="0.25">
      <c r="B34" s="64"/>
      <c r="C34" s="70" t="s">
        <v>77</v>
      </c>
      <c r="D34" s="32"/>
      <c r="E34" s="12"/>
      <c r="G34" s="83">
        <f>E$29*F34</f>
        <v>0</v>
      </c>
      <c r="H34" s="54"/>
      <c r="I34" s="23"/>
      <c r="J34" s="78">
        <v>1000</v>
      </c>
      <c r="K34" s="115"/>
      <c r="L34" s="83">
        <f>J$29*K34</f>
        <v>0</v>
      </c>
      <c r="M34" s="115">
        <v>20</v>
      </c>
      <c r="N34" s="83">
        <f>J$29*M34</f>
        <v>20000</v>
      </c>
      <c r="O34" s="54"/>
      <c r="P34" s="51"/>
      <c r="Q34" s="10">
        <f t="shared" si="30"/>
        <v>1050</v>
      </c>
      <c r="R34" s="115">
        <f t="shared" si="31"/>
        <v>30</v>
      </c>
      <c r="S34" s="83">
        <f>Q$29*R34</f>
        <v>31500</v>
      </c>
      <c r="T34" s="115">
        <f t="shared" si="32"/>
        <v>45</v>
      </c>
      <c r="U34" s="83">
        <f>Q$29*T34</f>
        <v>47250</v>
      </c>
      <c r="V34" s="54"/>
      <c r="W34" s="51"/>
      <c r="X34" s="10">
        <f t="shared" si="33"/>
        <v>1102.5</v>
      </c>
      <c r="Y34" s="115">
        <f t="shared" si="34"/>
        <v>67.5</v>
      </c>
      <c r="Z34" s="83">
        <f>X$29*Y34</f>
        <v>74418.75</v>
      </c>
      <c r="AA34" s="232">
        <f t="shared" si="35"/>
        <v>101.25</v>
      </c>
      <c r="AB34" s="83">
        <f>X$29*AA34</f>
        <v>111628.125</v>
      </c>
      <c r="AC34" s="180"/>
      <c r="AD34" s="229"/>
      <c r="AE34" s="180">
        <f t="shared" si="36"/>
        <v>1157.625</v>
      </c>
      <c r="AF34" s="232">
        <f t="shared" si="37"/>
        <v>151.875</v>
      </c>
      <c r="AG34" s="83">
        <f>AE$29*AF34</f>
        <v>175814.296875</v>
      </c>
      <c r="AH34" s="232">
        <f t="shared" si="38"/>
        <v>227.8125</v>
      </c>
      <c r="AI34" s="83">
        <f>AE$29*AH34</f>
        <v>263721.4453125</v>
      </c>
      <c r="AJ34" s="180"/>
    </row>
    <row r="35" spans="2:36" x14ac:dyDescent="0.25">
      <c r="B35" s="54"/>
      <c r="C35" s="70" t="s">
        <v>78</v>
      </c>
      <c r="D35" s="32"/>
      <c r="E35" s="12"/>
      <c r="G35" s="83">
        <f>E$29*F35</f>
        <v>0</v>
      </c>
      <c r="H35" s="54"/>
      <c r="I35" s="23"/>
      <c r="J35" s="78">
        <v>1000</v>
      </c>
      <c r="K35" s="115"/>
      <c r="L35" s="83">
        <f>J$29*K35</f>
        <v>0</v>
      </c>
      <c r="M35" s="115">
        <v>20</v>
      </c>
      <c r="N35" s="83">
        <f>J$29*M35</f>
        <v>20000</v>
      </c>
      <c r="O35" s="54"/>
      <c r="P35" s="51"/>
      <c r="Q35" s="10">
        <f t="shared" si="30"/>
        <v>1050</v>
      </c>
      <c r="R35" s="115">
        <f t="shared" si="31"/>
        <v>30</v>
      </c>
      <c r="S35" s="83">
        <f>Q$29*R35</f>
        <v>31500</v>
      </c>
      <c r="T35" s="115">
        <f t="shared" si="32"/>
        <v>45</v>
      </c>
      <c r="U35" s="83">
        <f>Q$29*T35</f>
        <v>47250</v>
      </c>
      <c r="V35" s="54"/>
      <c r="W35" s="51"/>
      <c r="X35" s="10">
        <f t="shared" si="33"/>
        <v>1102.5</v>
      </c>
      <c r="Y35" s="115">
        <f t="shared" si="34"/>
        <v>67.5</v>
      </c>
      <c r="Z35" s="83">
        <f>X$29*Y35</f>
        <v>74418.75</v>
      </c>
      <c r="AA35" s="232">
        <f t="shared" si="35"/>
        <v>101.25</v>
      </c>
      <c r="AB35" s="83">
        <f>X$29*AA35</f>
        <v>111628.125</v>
      </c>
      <c r="AC35" s="180"/>
      <c r="AD35" s="229"/>
      <c r="AE35" s="180">
        <f t="shared" si="36"/>
        <v>1157.625</v>
      </c>
      <c r="AF35" s="232">
        <f t="shared" si="37"/>
        <v>151.875</v>
      </c>
      <c r="AG35" s="83">
        <f>AE$29*AF35</f>
        <v>175814.296875</v>
      </c>
      <c r="AH35" s="232">
        <f t="shared" si="38"/>
        <v>227.8125</v>
      </c>
      <c r="AI35" s="83">
        <f>AE$29*AH35</f>
        <v>263721.4453125</v>
      </c>
      <c r="AJ35" s="180"/>
    </row>
    <row r="36" spans="2:36" ht="15.75" thickBot="1" x14ac:dyDescent="0.3">
      <c r="B36" s="54"/>
      <c r="C36" s="70" t="s">
        <v>64</v>
      </c>
      <c r="D36" s="32"/>
      <c r="E36" s="12"/>
      <c r="G36" s="83">
        <f>E$29*F36</f>
        <v>0</v>
      </c>
      <c r="H36" s="54"/>
      <c r="I36" s="23"/>
      <c r="J36" s="78">
        <v>1000</v>
      </c>
      <c r="K36" s="115"/>
      <c r="L36" s="83">
        <f>J$29*K36</f>
        <v>0</v>
      </c>
      <c r="M36" s="115">
        <f>K36*1.5</f>
        <v>0</v>
      </c>
      <c r="N36" s="83">
        <f>J$29*M36</f>
        <v>0</v>
      </c>
      <c r="O36" s="54"/>
      <c r="P36" s="51"/>
      <c r="Q36" s="10">
        <f>J36*1.05</f>
        <v>1050</v>
      </c>
      <c r="R36" s="115">
        <f t="shared" si="31"/>
        <v>0</v>
      </c>
      <c r="S36" s="83">
        <f>Q$29*R36</f>
        <v>0</v>
      </c>
      <c r="T36" s="115">
        <f t="shared" si="32"/>
        <v>0</v>
      </c>
      <c r="U36" s="83">
        <f>Q$29*T36</f>
        <v>0</v>
      </c>
      <c r="V36" s="54"/>
      <c r="W36" s="51"/>
      <c r="X36" s="10">
        <f>Q36*1.05</f>
        <v>1102.5</v>
      </c>
      <c r="Y36" s="115">
        <f t="shared" si="34"/>
        <v>0</v>
      </c>
      <c r="Z36" s="83">
        <f>X$29*Y36</f>
        <v>0</v>
      </c>
      <c r="AA36" s="232">
        <f t="shared" si="35"/>
        <v>0</v>
      </c>
      <c r="AB36" s="83">
        <f>X$29*AA36</f>
        <v>0</v>
      </c>
      <c r="AC36" s="180"/>
      <c r="AD36" s="229"/>
      <c r="AE36" s="180">
        <f>X36*1.05</f>
        <v>1157.625</v>
      </c>
      <c r="AF36" s="232">
        <f t="shared" si="37"/>
        <v>0</v>
      </c>
      <c r="AG36" s="83">
        <f>AE$29*AF36</f>
        <v>0</v>
      </c>
      <c r="AH36" s="232">
        <f t="shared" si="38"/>
        <v>0</v>
      </c>
      <c r="AI36" s="83">
        <f>AE$29*AH36</f>
        <v>0</v>
      </c>
      <c r="AJ36" s="180"/>
    </row>
    <row r="37" spans="2:36" ht="15.75" thickBot="1" x14ac:dyDescent="0.3">
      <c r="B37" s="65" t="s">
        <v>12</v>
      </c>
      <c r="C37" s="45"/>
      <c r="D37" s="45"/>
      <c r="E37" s="16"/>
      <c r="F37" s="17"/>
      <c r="G37" s="20">
        <f>SUM(G29:G36)</f>
        <v>37000</v>
      </c>
      <c r="H37" s="55">
        <f>G37</f>
        <v>37000</v>
      </c>
      <c r="I37" s="30"/>
      <c r="J37" s="79"/>
      <c r="K37" s="17"/>
      <c r="L37" s="18">
        <f>SUM(L29:L36)</f>
        <v>50000</v>
      </c>
      <c r="M37" s="17"/>
      <c r="N37" s="20">
        <f>SUM(N29:N36)</f>
        <v>110000</v>
      </c>
      <c r="O37" s="55">
        <f>N37+L37</f>
        <v>160000</v>
      </c>
      <c r="P37" s="52"/>
      <c r="Q37" s="19"/>
      <c r="R37" s="17"/>
      <c r="S37" s="18">
        <f>SUM(S29:S36)</f>
        <v>173250</v>
      </c>
      <c r="T37" s="17"/>
      <c r="U37" s="20">
        <f>SUM(U29:U36)</f>
        <v>248850</v>
      </c>
      <c r="V37" s="55">
        <f>U37+S37</f>
        <v>422100</v>
      </c>
      <c r="W37" s="52"/>
      <c r="X37" s="19"/>
      <c r="Y37" s="17"/>
      <c r="Z37" s="20">
        <f>SUM(Z29:Z36)</f>
        <v>391938.75</v>
      </c>
      <c r="AA37" s="231"/>
      <c r="AB37" s="20">
        <f>SUM(AB29:AB36)</f>
        <v>563598</v>
      </c>
      <c r="AC37" s="55">
        <f>AB37+Z37</f>
        <v>955536.75</v>
      </c>
      <c r="AD37" s="52"/>
      <c r="AE37" s="233"/>
      <c r="AF37" s="231"/>
      <c r="AG37" s="20">
        <f>SUM(AG29:AG36)</f>
        <v>887666.85</v>
      </c>
      <c r="AH37" s="231"/>
      <c r="AI37" s="20">
        <f>SUM(AI29:AI36)</f>
        <v>1277896.4493749999</v>
      </c>
      <c r="AJ37" s="55">
        <f>AI37+AG37</f>
        <v>2165563.2993749999</v>
      </c>
    </row>
    <row r="38" spans="2:36" ht="19.5" thickBot="1" x14ac:dyDescent="0.35">
      <c r="B38" s="65" t="s">
        <v>17</v>
      </c>
      <c r="C38" s="45"/>
      <c r="D38" s="45"/>
      <c r="E38" s="16"/>
      <c r="F38" s="17"/>
      <c r="G38" s="20">
        <f>G37+G23+G15</f>
        <v>80700</v>
      </c>
      <c r="H38" s="91">
        <f>H37+H23+H15</f>
        <v>1955673</v>
      </c>
      <c r="I38" s="24"/>
      <c r="J38" s="79"/>
      <c r="K38" s="17"/>
      <c r="L38" s="18">
        <f>L37+L23+L15</f>
        <v>1032110</v>
      </c>
      <c r="M38" s="17"/>
      <c r="N38" s="20">
        <f>N37+N23+N15</f>
        <v>1667525</v>
      </c>
      <c r="O38" s="91">
        <f>O37+O23+O15</f>
        <v>2699635</v>
      </c>
      <c r="P38" s="24"/>
      <c r="Q38" s="19"/>
      <c r="R38" s="17"/>
      <c r="S38" s="18">
        <f>S37+S23+S15</f>
        <v>1887952.5</v>
      </c>
      <c r="T38" s="17"/>
      <c r="U38" s="20">
        <f>U37+U23+U15</f>
        <v>2528386.875</v>
      </c>
      <c r="V38" s="91">
        <f>V37+V23+V15</f>
        <v>4416339.375</v>
      </c>
      <c r="W38" s="24"/>
      <c r="X38" s="19"/>
      <c r="Y38" s="17"/>
      <c r="Z38" s="20">
        <f>Z37+Z23+Z15</f>
        <v>3073742.4375</v>
      </c>
      <c r="AA38" s="231"/>
      <c r="AB38" s="20">
        <f>AB37+AB23+AB15</f>
        <v>4017625.6640625</v>
      </c>
      <c r="AC38" s="91">
        <f>AC37+AC23+AC15</f>
        <v>7091368.1015625</v>
      </c>
      <c r="AD38" s="24"/>
      <c r="AE38" s="233"/>
      <c r="AF38" s="231"/>
      <c r="AG38" s="20">
        <f>AG37+AG23+AG15</f>
        <v>5238012.5560546871</v>
      </c>
      <c r="AH38" s="231"/>
      <c r="AI38" s="20">
        <f>AI37+AI23+AI15</f>
        <v>6748433.9150976557</v>
      </c>
      <c r="AJ38" s="91">
        <f>AJ37+AJ23+AJ15</f>
        <v>11986446.471152343</v>
      </c>
    </row>
  </sheetData>
  <mergeCells count="7">
    <mergeCell ref="A3:A14"/>
    <mergeCell ref="AJ1:AJ2"/>
    <mergeCell ref="E1:E2"/>
    <mergeCell ref="H1:H2"/>
    <mergeCell ref="O1:O2"/>
    <mergeCell ref="V1:V2"/>
    <mergeCell ref="AC1:AC2"/>
  </mergeCells>
  <pageMargins left="0.7" right="0.7" top="0.75" bottom="0.75" header="0.3" footer="0.3"/>
  <pageSetup orientation="portrait" horizontalDpi="360" verticalDpi="36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D9FE8-ECA2-43A7-B1B5-19098FD36A60}">
  <dimension ref="A1:P39"/>
  <sheetViews>
    <sheetView workbookViewId="0">
      <pane xSplit="1" topLeftCell="B1" activePane="topRight" state="frozen"/>
      <selection activeCell="J38" sqref="J1:AJ38"/>
      <selection pane="topRight" activeCell="J38" sqref="J1:AJ38"/>
    </sheetView>
  </sheetViews>
  <sheetFormatPr defaultColWidth="10.140625" defaultRowHeight="15" x14ac:dyDescent="0.25"/>
  <cols>
    <col min="1" max="1" width="19.140625" style="83" bestFit="1" customWidth="1"/>
    <col min="2" max="2" width="12.140625" style="83" bestFit="1" customWidth="1"/>
    <col min="3" max="3" width="6" style="83" bestFit="1" customWidth="1"/>
    <col min="4" max="4" width="12.42578125" style="83" bestFit="1" customWidth="1"/>
    <col min="5" max="6" width="6" style="83" bestFit="1" customWidth="1"/>
    <col min="7" max="7" width="12.42578125" style="83" bestFit="1" customWidth="1"/>
    <col min="8" max="8" width="9.85546875" style="83" bestFit="1" customWidth="1"/>
    <col min="9" max="9" width="6" style="83" bestFit="1" customWidth="1"/>
    <col min="10" max="10" width="11.42578125" style="83" bestFit="1" customWidth="1"/>
    <col min="11" max="11" width="12.42578125" style="83" bestFit="1" customWidth="1"/>
    <col min="12" max="12" width="6" style="83" bestFit="1" customWidth="1"/>
    <col min="13" max="13" width="12.42578125" style="83" bestFit="1" customWidth="1"/>
    <col min="14" max="14" width="11.42578125" style="83" bestFit="1" customWidth="1"/>
    <col min="15" max="15" width="12.42578125" style="83" bestFit="1" customWidth="1"/>
    <col min="16" max="16" width="0.5703125" style="83" customWidth="1"/>
    <col min="17" max="17" width="10.140625" style="83"/>
    <col min="18" max="29" width="12.85546875" style="83" customWidth="1"/>
    <col min="30" max="30" width="0.5703125" style="83" customWidth="1"/>
    <col min="31" max="43" width="12.85546875" style="83" customWidth="1"/>
    <col min="44" max="44" width="0.5703125" style="83" customWidth="1"/>
    <col min="45" max="57" width="12.85546875" style="83" customWidth="1"/>
    <col min="58" max="58" width="0.5703125" style="83" customWidth="1"/>
    <col min="59" max="60" width="12.85546875" style="83" customWidth="1"/>
    <col min="61" max="16384" width="10.140625" style="83"/>
  </cols>
  <sheetData>
    <row r="1" spans="1:16" s="98" customFormat="1" ht="19.5" thickBot="1" x14ac:dyDescent="0.3">
      <c r="A1" s="96" t="str">
        <f>O1</f>
        <v>22/23</v>
      </c>
      <c r="B1" s="95" t="s">
        <v>93</v>
      </c>
      <c r="C1" s="95">
        <v>44743</v>
      </c>
      <c r="D1" s="95">
        <v>44774</v>
      </c>
      <c r="E1" s="95">
        <v>44805</v>
      </c>
      <c r="F1" s="95">
        <v>44835</v>
      </c>
      <c r="G1" s="95">
        <v>44866</v>
      </c>
      <c r="H1" s="95">
        <v>44896</v>
      </c>
      <c r="I1" s="95">
        <v>44927</v>
      </c>
      <c r="J1" s="95">
        <v>44958</v>
      </c>
      <c r="K1" s="95">
        <v>44986</v>
      </c>
      <c r="L1" s="95">
        <v>45017</v>
      </c>
      <c r="M1" s="95">
        <v>45047</v>
      </c>
      <c r="N1" s="95">
        <v>45078</v>
      </c>
      <c r="O1" s="96" t="s">
        <v>52</v>
      </c>
      <c r="P1" s="97"/>
    </row>
    <row r="2" spans="1:16" x14ac:dyDescent="0.25">
      <c r="A2" s="82" t="s">
        <v>87</v>
      </c>
      <c r="B2" s="82">
        <v>8000000</v>
      </c>
      <c r="C2" s="82">
        <v>0</v>
      </c>
      <c r="D2" s="82">
        <v>0</v>
      </c>
      <c r="E2" s="82">
        <v>0</v>
      </c>
      <c r="F2" s="82">
        <v>0</v>
      </c>
      <c r="G2" s="82">
        <v>0</v>
      </c>
      <c r="H2" s="82">
        <v>0</v>
      </c>
      <c r="I2" s="82">
        <v>0</v>
      </c>
      <c r="J2" s="82">
        <v>0</v>
      </c>
      <c r="K2" s="82">
        <v>0</v>
      </c>
      <c r="L2" s="82">
        <v>0</v>
      </c>
      <c r="M2" s="82">
        <v>0</v>
      </c>
      <c r="N2" s="82">
        <v>2000000</v>
      </c>
      <c r="O2" s="179">
        <f t="shared" ref="O2:O8" si="0">SUM(C2:N2)</f>
        <v>2000000</v>
      </c>
      <c r="P2" s="92"/>
    </row>
    <row r="3" spans="1:16" x14ac:dyDescent="0.25">
      <c r="A3" s="83" t="s">
        <v>88</v>
      </c>
      <c r="B3" s="83">
        <v>250000</v>
      </c>
      <c r="C3" s="83">
        <v>0</v>
      </c>
      <c r="D3" s="83">
        <v>0</v>
      </c>
      <c r="E3" s="83">
        <v>0</v>
      </c>
      <c r="F3" s="83">
        <v>0</v>
      </c>
      <c r="G3" s="83">
        <v>0</v>
      </c>
      <c r="H3" s="83">
        <v>100000</v>
      </c>
      <c r="I3" s="83">
        <v>0</v>
      </c>
      <c r="J3" s="83">
        <v>0</v>
      </c>
      <c r="K3" s="83">
        <v>50000</v>
      </c>
      <c r="L3" s="83">
        <v>0</v>
      </c>
      <c r="M3" s="83">
        <v>100000</v>
      </c>
      <c r="N3" s="83">
        <v>0</v>
      </c>
      <c r="O3" s="180">
        <f t="shared" si="0"/>
        <v>250000</v>
      </c>
      <c r="P3" s="93"/>
    </row>
    <row r="4" spans="1:16" x14ac:dyDescent="0.25">
      <c r="A4" s="83" t="s">
        <v>89</v>
      </c>
      <c r="B4" s="83">
        <v>10000</v>
      </c>
      <c r="C4" s="83">
        <v>0</v>
      </c>
      <c r="D4" s="83">
        <v>0</v>
      </c>
      <c r="E4" s="83">
        <v>0</v>
      </c>
      <c r="F4" s="83">
        <v>0</v>
      </c>
      <c r="G4" s="83">
        <v>10000</v>
      </c>
      <c r="H4" s="83">
        <v>0</v>
      </c>
      <c r="I4" s="83">
        <v>0</v>
      </c>
      <c r="J4" s="83">
        <v>0</v>
      </c>
      <c r="K4" s="83">
        <v>0</v>
      </c>
      <c r="L4" s="83">
        <v>0</v>
      </c>
      <c r="M4" s="83">
        <v>0</v>
      </c>
      <c r="N4" s="83">
        <v>0</v>
      </c>
      <c r="O4" s="180">
        <f t="shared" si="0"/>
        <v>10000</v>
      </c>
      <c r="P4" s="93"/>
    </row>
    <row r="5" spans="1:16" x14ac:dyDescent="0.25">
      <c r="A5" s="83" t="s">
        <v>90</v>
      </c>
      <c r="B5" s="83">
        <v>2000000</v>
      </c>
      <c r="C5" s="83">
        <v>0</v>
      </c>
      <c r="D5" s="83">
        <v>0</v>
      </c>
      <c r="E5" s="83">
        <v>0</v>
      </c>
      <c r="F5" s="83">
        <v>0</v>
      </c>
      <c r="G5" s="83">
        <v>0</v>
      </c>
      <c r="H5" s="83">
        <v>0</v>
      </c>
      <c r="I5" s="83">
        <v>0</v>
      </c>
      <c r="J5" s="83">
        <v>30000</v>
      </c>
      <c r="K5" s="83">
        <v>0</v>
      </c>
      <c r="L5" s="83">
        <v>0</v>
      </c>
      <c r="M5" s="83">
        <v>0</v>
      </c>
      <c r="N5" s="83">
        <v>0</v>
      </c>
      <c r="O5" s="180">
        <f t="shared" si="0"/>
        <v>30000</v>
      </c>
      <c r="P5" s="93"/>
    </row>
    <row r="6" spans="1:16" x14ac:dyDescent="0.25">
      <c r="A6" s="83" t="s">
        <v>91</v>
      </c>
      <c r="B6" s="83">
        <v>50000000</v>
      </c>
      <c r="C6" s="83">
        <v>0</v>
      </c>
      <c r="D6" s="83">
        <v>0</v>
      </c>
      <c r="E6" s="83">
        <v>0</v>
      </c>
      <c r="F6" s="83">
        <v>0</v>
      </c>
      <c r="G6" s="83">
        <v>0</v>
      </c>
      <c r="H6" s="83">
        <v>0</v>
      </c>
      <c r="I6" s="83">
        <v>0</v>
      </c>
      <c r="J6" s="83">
        <v>0</v>
      </c>
      <c r="K6" s="83">
        <v>0</v>
      </c>
      <c r="L6" s="83">
        <v>0</v>
      </c>
      <c r="M6" s="83">
        <v>0</v>
      </c>
      <c r="N6" s="83">
        <v>0</v>
      </c>
      <c r="O6" s="180">
        <f t="shared" si="0"/>
        <v>0</v>
      </c>
      <c r="P6" s="93"/>
    </row>
    <row r="7" spans="1:16" x14ac:dyDescent="0.25">
      <c r="A7" s="83" t="s">
        <v>92</v>
      </c>
      <c r="B7" s="83">
        <v>20000000</v>
      </c>
      <c r="C7" s="83">
        <v>0</v>
      </c>
      <c r="D7" s="83">
        <v>0</v>
      </c>
      <c r="E7" s="83">
        <v>0</v>
      </c>
      <c r="F7" s="83">
        <v>0</v>
      </c>
      <c r="G7" s="83">
        <v>0</v>
      </c>
      <c r="H7" s="83">
        <v>0</v>
      </c>
      <c r="I7" s="83">
        <v>0</v>
      </c>
      <c r="J7" s="83">
        <v>0</v>
      </c>
      <c r="K7" s="83">
        <v>0</v>
      </c>
      <c r="L7" s="83">
        <v>0</v>
      </c>
      <c r="M7" s="83">
        <v>0</v>
      </c>
      <c r="N7" s="83">
        <v>0</v>
      </c>
      <c r="O7" s="180">
        <f t="shared" si="0"/>
        <v>0</v>
      </c>
      <c r="P7" s="93"/>
    </row>
    <row r="8" spans="1:16" ht="15.75" thickBot="1" x14ac:dyDescent="0.3">
      <c r="A8" s="83" t="s">
        <v>162</v>
      </c>
      <c r="C8" s="83">
        <v>0</v>
      </c>
      <c r="D8" s="83">
        <v>0</v>
      </c>
      <c r="E8" s="83">
        <v>0</v>
      </c>
      <c r="F8" s="83">
        <v>0</v>
      </c>
      <c r="G8" s="83">
        <v>0</v>
      </c>
      <c r="H8" s="83">
        <v>0</v>
      </c>
      <c r="I8" s="83">
        <v>0</v>
      </c>
      <c r="J8" s="83">
        <v>0</v>
      </c>
      <c r="K8" s="83">
        <v>0</v>
      </c>
      <c r="L8" s="83">
        <v>0</v>
      </c>
      <c r="M8" s="83">
        <v>0</v>
      </c>
      <c r="N8" s="83">
        <v>0</v>
      </c>
      <c r="O8" s="180">
        <f t="shared" si="0"/>
        <v>0</v>
      </c>
      <c r="P8" s="93"/>
    </row>
    <row r="9" spans="1:16" ht="15.75" thickBot="1" x14ac:dyDescent="0.3">
      <c r="A9" s="94" t="s">
        <v>12</v>
      </c>
      <c r="B9" s="94"/>
      <c r="C9" s="20">
        <f>SUM(C2:C8)</f>
        <v>0</v>
      </c>
      <c r="D9" s="20">
        <f t="shared" ref="D9:O9" si="1">SUM(D2:D8)</f>
        <v>0</v>
      </c>
      <c r="E9" s="20">
        <f t="shared" si="1"/>
        <v>0</v>
      </c>
      <c r="F9" s="20">
        <f t="shared" si="1"/>
        <v>0</v>
      </c>
      <c r="G9" s="20">
        <f t="shared" si="1"/>
        <v>10000</v>
      </c>
      <c r="H9" s="20">
        <f t="shared" si="1"/>
        <v>100000</v>
      </c>
      <c r="I9" s="20">
        <f t="shared" si="1"/>
        <v>0</v>
      </c>
      <c r="J9" s="20">
        <f t="shared" si="1"/>
        <v>30000</v>
      </c>
      <c r="K9" s="20">
        <f t="shared" si="1"/>
        <v>50000</v>
      </c>
      <c r="L9" s="20">
        <f t="shared" si="1"/>
        <v>0</v>
      </c>
      <c r="M9" s="20">
        <f t="shared" si="1"/>
        <v>100000</v>
      </c>
      <c r="N9" s="20">
        <f t="shared" si="1"/>
        <v>2000000</v>
      </c>
      <c r="O9" s="56">
        <f t="shared" si="1"/>
        <v>2290000</v>
      </c>
      <c r="P9" s="30"/>
    </row>
    <row r="10" spans="1:16" ht="6" customHeight="1" thickBot="1" x14ac:dyDescent="0.3"/>
    <row r="11" spans="1:16" ht="19.5" thickBot="1" x14ac:dyDescent="0.3">
      <c r="A11" s="96" t="str">
        <f>O11</f>
        <v>23/24</v>
      </c>
      <c r="B11" s="95" t="s">
        <v>93</v>
      </c>
      <c r="C11" s="95">
        <v>45108</v>
      </c>
      <c r="D11" s="95">
        <v>45139</v>
      </c>
      <c r="E11" s="95">
        <v>45170</v>
      </c>
      <c r="F11" s="95">
        <v>45200</v>
      </c>
      <c r="G11" s="95">
        <v>45231</v>
      </c>
      <c r="H11" s="95">
        <v>45261</v>
      </c>
      <c r="I11" s="95">
        <v>45292</v>
      </c>
      <c r="J11" s="95">
        <v>45323</v>
      </c>
      <c r="K11" s="95">
        <v>45352</v>
      </c>
      <c r="L11" s="95">
        <v>45383</v>
      </c>
      <c r="M11" s="95">
        <v>45413</v>
      </c>
      <c r="N11" s="95">
        <v>45444</v>
      </c>
      <c r="O11" s="96" t="s">
        <v>9</v>
      </c>
      <c r="P11" s="97"/>
    </row>
    <row r="12" spans="1:16" x14ac:dyDescent="0.25">
      <c r="A12" s="82" t="s">
        <v>87</v>
      </c>
      <c r="B12" s="82">
        <v>8000000</v>
      </c>
      <c r="C12" s="82">
        <v>0</v>
      </c>
      <c r="D12" s="82">
        <v>2000000</v>
      </c>
      <c r="E12" s="82">
        <v>0</v>
      </c>
      <c r="F12" s="82">
        <v>0</v>
      </c>
      <c r="G12" s="82">
        <v>2000000</v>
      </c>
      <c r="H12" s="82">
        <v>0</v>
      </c>
      <c r="I12" s="82">
        <v>0</v>
      </c>
      <c r="J12" s="82">
        <v>2000000</v>
      </c>
      <c r="K12" s="82">
        <v>0</v>
      </c>
      <c r="L12" s="82">
        <v>0</v>
      </c>
      <c r="M12" s="82">
        <v>0</v>
      </c>
      <c r="N12" s="82">
        <v>0</v>
      </c>
      <c r="O12" s="179">
        <f t="shared" ref="O12:O18" si="2">SUM(C12:N12)</f>
        <v>6000000</v>
      </c>
      <c r="P12" s="92"/>
    </row>
    <row r="13" spans="1:16" x14ac:dyDescent="0.25">
      <c r="A13" s="83" t="s">
        <v>88</v>
      </c>
      <c r="B13" s="83">
        <v>250000</v>
      </c>
      <c r="C13" s="83">
        <v>0</v>
      </c>
      <c r="D13" s="83">
        <v>0</v>
      </c>
      <c r="E13" s="83">
        <v>0</v>
      </c>
      <c r="F13" s="83">
        <v>0</v>
      </c>
      <c r="G13" s="83">
        <v>0</v>
      </c>
      <c r="H13" s="83">
        <v>0</v>
      </c>
      <c r="I13" s="83">
        <v>0</v>
      </c>
      <c r="J13" s="83">
        <v>0</v>
      </c>
      <c r="K13" s="83">
        <v>0</v>
      </c>
      <c r="L13" s="83">
        <v>0</v>
      </c>
      <c r="M13" s="83">
        <v>0</v>
      </c>
      <c r="N13" s="83">
        <v>0</v>
      </c>
      <c r="O13" s="180">
        <f t="shared" si="2"/>
        <v>0</v>
      </c>
      <c r="P13" s="93"/>
    </row>
    <row r="14" spans="1:16" x14ac:dyDescent="0.25">
      <c r="A14" s="83" t="s">
        <v>89</v>
      </c>
      <c r="B14" s="83">
        <v>10000</v>
      </c>
      <c r="C14" s="83">
        <v>0</v>
      </c>
      <c r="D14" s="83">
        <v>0</v>
      </c>
      <c r="E14" s="83">
        <v>0</v>
      </c>
      <c r="F14" s="83">
        <v>0</v>
      </c>
      <c r="G14" s="83">
        <v>0</v>
      </c>
      <c r="H14" s="83">
        <v>0</v>
      </c>
      <c r="I14" s="83">
        <v>0</v>
      </c>
      <c r="J14" s="83">
        <v>0</v>
      </c>
      <c r="K14" s="83">
        <v>0</v>
      </c>
      <c r="L14" s="83">
        <v>0</v>
      </c>
      <c r="M14" s="83">
        <v>0</v>
      </c>
      <c r="N14" s="83">
        <v>0</v>
      </c>
      <c r="O14" s="180">
        <f t="shared" si="2"/>
        <v>0</v>
      </c>
      <c r="P14" s="93"/>
    </row>
    <row r="15" spans="1:16" x14ac:dyDescent="0.25">
      <c r="A15" s="83" t="s">
        <v>90</v>
      </c>
      <c r="B15" s="83">
        <v>2000000</v>
      </c>
      <c r="C15" s="83">
        <v>0</v>
      </c>
      <c r="D15" s="83">
        <v>0</v>
      </c>
      <c r="E15" s="83">
        <v>0</v>
      </c>
      <c r="F15" s="83">
        <v>0</v>
      </c>
      <c r="G15" s="83">
        <v>0</v>
      </c>
      <c r="H15" s="83">
        <v>0</v>
      </c>
      <c r="I15" s="83">
        <v>0</v>
      </c>
      <c r="J15" s="83">
        <v>0</v>
      </c>
      <c r="K15" s="83">
        <v>0</v>
      </c>
      <c r="L15" s="83">
        <v>0</v>
      </c>
      <c r="M15" s="83">
        <v>0</v>
      </c>
      <c r="N15" s="83">
        <v>0</v>
      </c>
      <c r="O15" s="180">
        <f t="shared" si="2"/>
        <v>0</v>
      </c>
      <c r="P15" s="93"/>
    </row>
    <row r="16" spans="1:16" x14ac:dyDescent="0.25">
      <c r="A16" s="83" t="s">
        <v>91</v>
      </c>
      <c r="B16" s="83">
        <v>50000000</v>
      </c>
      <c r="C16" s="83">
        <v>0</v>
      </c>
      <c r="D16" s="83">
        <v>0</v>
      </c>
      <c r="E16" s="83">
        <v>0</v>
      </c>
      <c r="F16" s="83">
        <v>0</v>
      </c>
      <c r="G16" s="83">
        <v>0</v>
      </c>
      <c r="H16" s="83">
        <v>0</v>
      </c>
      <c r="I16" s="83">
        <v>0</v>
      </c>
      <c r="J16" s="83">
        <v>0</v>
      </c>
      <c r="K16" s="83">
        <v>10000000</v>
      </c>
      <c r="M16" s="83">
        <v>0</v>
      </c>
      <c r="N16" s="83">
        <v>0</v>
      </c>
      <c r="O16" s="180">
        <f t="shared" si="2"/>
        <v>10000000</v>
      </c>
      <c r="P16" s="93"/>
    </row>
    <row r="17" spans="1:16" x14ac:dyDescent="0.25">
      <c r="A17" s="83" t="s">
        <v>92</v>
      </c>
      <c r="B17" s="83">
        <v>20000000</v>
      </c>
      <c r="C17" s="83">
        <v>0</v>
      </c>
      <c r="D17" s="83">
        <v>0</v>
      </c>
      <c r="E17" s="83">
        <v>0</v>
      </c>
      <c r="F17" s="83">
        <v>0</v>
      </c>
      <c r="G17" s="83">
        <v>0</v>
      </c>
      <c r="H17" s="83">
        <v>0</v>
      </c>
      <c r="I17" s="83">
        <v>0</v>
      </c>
      <c r="J17" s="83">
        <v>0</v>
      </c>
      <c r="K17" s="83">
        <v>0</v>
      </c>
      <c r="L17" s="83">
        <v>0</v>
      </c>
      <c r="M17" s="83">
        <v>0</v>
      </c>
      <c r="N17" s="83">
        <v>0</v>
      </c>
      <c r="O17" s="180">
        <f t="shared" si="2"/>
        <v>0</v>
      </c>
      <c r="P17" s="93"/>
    </row>
    <row r="18" spans="1:16" ht="15.75" thickBot="1" x14ac:dyDescent="0.3">
      <c r="A18" s="83" t="s">
        <v>162</v>
      </c>
      <c r="C18" s="83">
        <v>0</v>
      </c>
      <c r="D18" s="83">
        <v>0</v>
      </c>
      <c r="E18" s="83">
        <v>0</v>
      </c>
      <c r="F18" s="83">
        <v>0</v>
      </c>
      <c r="G18" s="83">
        <v>0</v>
      </c>
      <c r="H18" s="83">
        <v>0</v>
      </c>
      <c r="I18" s="83">
        <v>0</v>
      </c>
      <c r="J18" s="83">
        <v>0</v>
      </c>
      <c r="K18" s="83">
        <v>0</v>
      </c>
      <c r="L18" s="83">
        <v>0</v>
      </c>
      <c r="M18" s="83">
        <v>0</v>
      </c>
      <c r="N18" s="83">
        <v>0</v>
      </c>
      <c r="O18" s="180">
        <f t="shared" si="2"/>
        <v>0</v>
      </c>
      <c r="P18" s="93"/>
    </row>
    <row r="19" spans="1:16" ht="15.75" thickBot="1" x14ac:dyDescent="0.3">
      <c r="A19" s="94" t="s">
        <v>12</v>
      </c>
      <c r="B19" s="94"/>
      <c r="C19" s="20">
        <f t="shared" ref="C19:O19" si="3">SUM(C12:C18)</f>
        <v>0</v>
      </c>
      <c r="D19" s="20">
        <f t="shared" si="3"/>
        <v>2000000</v>
      </c>
      <c r="E19" s="20">
        <f t="shared" si="3"/>
        <v>0</v>
      </c>
      <c r="F19" s="20">
        <f t="shared" si="3"/>
        <v>0</v>
      </c>
      <c r="G19" s="20">
        <f t="shared" si="3"/>
        <v>2000000</v>
      </c>
      <c r="H19" s="20">
        <f t="shared" si="3"/>
        <v>0</v>
      </c>
      <c r="I19" s="20">
        <f t="shared" si="3"/>
        <v>0</v>
      </c>
      <c r="J19" s="20">
        <f t="shared" si="3"/>
        <v>2000000</v>
      </c>
      <c r="K19" s="20">
        <f t="shared" si="3"/>
        <v>10000000</v>
      </c>
      <c r="L19" s="20">
        <f t="shared" si="3"/>
        <v>0</v>
      </c>
      <c r="M19" s="20">
        <f t="shared" si="3"/>
        <v>0</v>
      </c>
      <c r="N19" s="20">
        <f t="shared" si="3"/>
        <v>0</v>
      </c>
      <c r="O19" s="56">
        <f t="shared" si="3"/>
        <v>16000000</v>
      </c>
      <c r="P19" s="30"/>
    </row>
    <row r="20" spans="1:16" ht="6" customHeight="1" thickBot="1" x14ac:dyDescent="0.3"/>
    <row r="21" spans="1:16" ht="19.5" thickBot="1" x14ac:dyDescent="0.3">
      <c r="A21" s="96" t="str">
        <f>O21</f>
        <v>24/25</v>
      </c>
      <c r="B21" s="95" t="s">
        <v>93</v>
      </c>
      <c r="C21" s="95">
        <v>45474</v>
      </c>
      <c r="D21" s="95">
        <v>45505</v>
      </c>
      <c r="E21" s="95">
        <v>45536</v>
      </c>
      <c r="F21" s="95">
        <v>45566</v>
      </c>
      <c r="G21" s="95">
        <v>45597</v>
      </c>
      <c r="H21" s="95">
        <v>45627</v>
      </c>
      <c r="I21" s="95">
        <v>45658</v>
      </c>
      <c r="J21" s="95">
        <v>45689</v>
      </c>
      <c r="K21" s="95">
        <v>45717</v>
      </c>
      <c r="L21" s="95">
        <v>45748</v>
      </c>
      <c r="M21" s="95">
        <v>45778</v>
      </c>
      <c r="N21" s="95">
        <v>45809</v>
      </c>
      <c r="O21" s="96" t="s">
        <v>8</v>
      </c>
      <c r="P21" s="97"/>
    </row>
    <row r="22" spans="1:16" x14ac:dyDescent="0.25">
      <c r="A22" s="82" t="s">
        <v>87</v>
      </c>
      <c r="B22" s="82">
        <v>8000000</v>
      </c>
      <c r="C22" s="82">
        <v>0</v>
      </c>
      <c r="D22" s="82">
        <v>4000000</v>
      </c>
      <c r="E22" s="82">
        <v>0</v>
      </c>
      <c r="F22" s="82">
        <v>0</v>
      </c>
      <c r="G22" s="82">
        <v>0</v>
      </c>
      <c r="H22" s="82">
        <v>0</v>
      </c>
      <c r="I22" s="82">
        <v>0</v>
      </c>
      <c r="J22" s="82">
        <v>4000000</v>
      </c>
      <c r="K22" s="82">
        <v>0</v>
      </c>
      <c r="L22" s="82">
        <v>0</v>
      </c>
      <c r="M22" s="82">
        <v>0</v>
      </c>
      <c r="N22" s="82">
        <v>0</v>
      </c>
      <c r="O22" s="179">
        <f t="shared" ref="O22:O28" si="4">SUM(C22:N22)</f>
        <v>8000000</v>
      </c>
      <c r="P22" s="92"/>
    </row>
    <row r="23" spans="1:16" x14ac:dyDescent="0.25">
      <c r="A23" s="83" t="s">
        <v>88</v>
      </c>
      <c r="B23" s="83">
        <v>250000</v>
      </c>
      <c r="C23" s="83">
        <v>0</v>
      </c>
      <c r="D23" s="83">
        <v>0</v>
      </c>
      <c r="E23" s="83">
        <v>0</v>
      </c>
      <c r="F23" s="83">
        <v>0</v>
      </c>
      <c r="G23" s="83">
        <v>0</v>
      </c>
      <c r="H23" s="83">
        <v>0</v>
      </c>
      <c r="I23" s="83">
        <v>0</v>
      </c>
      <c r="J23" s="83">
        <v>0</v>
      </c>
      <c r="K23" s="83">
        <v>0</v>
      </c>
      <c r="L23" s="83">
        <v>0</v>
      </c>
      <c r="M23" s="83">
        <v>0</v>
      </c>
      <c r="N23" s="83">
        <v>0</v>
      </c>
      <c r="O23" s="180">
        <f t="shared" si="4"/>
        <v>0</v>
      </c>
      <c r="P23" s="93"/>
    </row>
    <row r="24" spans="1:16" x14ac:dyDescent="0.25">
      <c r="A24" s="83" t="s">
        <v>89</v>
      </c>
      <c r="B24" s="83">
        <v>10000</v>
      </c>
      <c r="C24" s="83">
        <v>0</v>
      </c>
      <c r="D24" s="83">
        <v>0</v>
      </c>
      <c r="E24" s="83">
        <v>0</v>
      </c>
      <c r="F24" s="83">
        <v>0</v>
      </c>
      <c r="G24" s="83">
        <v>0</v>
      </c>
      <c r="H24" s="83">
        <v>0</v>
      </c>
      <c r="I24" s="83">
        <v>0</v>
      </c>
      <c r="J24" s="83">
        <v>0</v>
      </c>
      <c r="K24" s="83">
        <v>0</v>
      </c>
      <c r="L24" s="83">
        <v>0</v>
      </c>
      <c r="M24" s="83">
        <v>0</v>
      </c>
      <c r="N24" s="83">
        <v>0</v>
      </c>
      <c r="O24" s="180">
        <f t="shared" si="4"/>
        <v>0</v>
      </c>
      <c r="P24" s="93"/>
    </row>
    <row r="25" spans="1:16" x14ac:dyDescent="0.25">
      <c r="A25" s="83" t="s">
        <v>90</v>
      </c>
      <c r="B25" s="83">
        <v>2000000</v>
      </c>
      <c r="C25" s="83">
        <v>0</v>
      </c>
      <c r="D25" s="83">
        <v>0</v>
      </c>
      <c r="E25" s="83">
        <v>0</v>
      </c>
      <c r="F25" s="83">
        <v>0</v>
      </c>
      <c r="G25" s="83">
        <v>0</v>
      </c>
      <c r="H25" s="83">
        <v>0</v>
      </c>
      <c r="I25" s="83">
        <v>0</v>
      </c>
      <c r="J25" s="83">
        <v>0</v>
      </c>
      <c r="K25" s="83">
        <v>0</v>
      </c>
      <c r="L25" s="83">
        <v>0</v>
      </c>
      <c r="M25" s="83">
        <v>0</v>
      </c>
      <c r="N25" s="83">
        <v>0</v>
      </c>
      <c r="O25" s="180">
        <f t="shared" si="4"/>
        <v>0</v>
      </c>
      <c r="P25" s="93"/>
    </row>
    <row r="26" spans="1:16" x14ac:dyDescent="0.25">
      <c r="A26" s="83" t="s">
        <v>91</v>
      </c>
      <c r="B26" s="83">
        <v>50000000</v>
      </c>
      <c r="C26" s="83">
        <v>0</v>
      </c>
      <c r="D26" s="83">
        <v>20000000</v>
      </c>
      <c r="G26" s="83">
        <v>10000000</v>
      </c>
      <c r="H26" s="83">
        <v>0</v>
      </c>
      <c r="I26" s="83">
        <v>0</v>
      </c>
      <c r="J26" s="83">
        <v>0</v>
      </c>
      <c r="K26" s="83">
        <v>0</v>
      </c>
      <c r="L26" s="83">
        <v>0</v>
      </c>
      <c r="M26" s="83">
        <v>0</v>
      </c>
      <c r="N26" s="83">
        <v>0</v>
      </c>
      <c r="O26" s="180">
        <f t="shared" si="4"/>
        <v>30000000</v>
      </c>
      <c r="P26" s="93"/>
    </row>
    <row r="27" spans="1:16" x14ac:dyDescent="0.25">
      <c r="A27" s="83" t="s">
        <v>92</v>
      </c>
      <c r="B27" s="83">
        <v>20000000</v>
      </c>
      <c r="C27" s="83">
        <v>0</v>
      </c>
      <c r="D27" s="83">
        <v>0</v>
      </c>
      <c r="E27" s="83">
        <v>0</v>
      </c>
      <c r="F27" s="83">
        <v>0</v>
      </c>
      <c r="G27" s="83">
        <v>0</v>
      </c>
      <c r="H27" s="83">
        <v>0</v>
      </c>
      <c r="I27" s="83">
        <v>0</v>
      </c>
      <c r="J27" s="83">
        <v>0</v>
      </c>
      <c r="K27" s="83">
        <v>0</v>
      </c>
      <c r="L27" s="83">
        <v>0</v>
      </c>
      <c r="M27" s="83">
        <v>0</v>
      </c>
      <c r="N27" s="83">
        <v>0</v>
      </c>
      <c r="O27" s="180">
        <f t="shared" si="4"/>
        <v>0</v>
      </c>
      <c r="P27" s="93"/>
    </row>
    <row r="28" spans="1:16" ht="15.75" thickBot="1" x14ac:dyDescent="0.3">
      <c r="A28" s="83" t="s">
        <v>162</v>
      </c>
      <c r="C28" s="83">
        <v>0</v>
      </c>
      <c r="D28" s="83">
        <v>0</v>
      </c>
      <c r="E28" s="83">
        <v>0</v>
      </c>
      <c r="F28" s="83">
        <v>0</v>
      </c>
      <c r="G28" s="83">
        <v>20000000</v>
      </c>
      <c r="H28" s="83">
        <v>0</v>
      </c>
      <c r="I28" s="83">
        <v>0</v>
      </c>
      <c r="J28" s="83">
        <v>0</v>
      </c>
      <c r="K28" s="83">
        <v>0</v>
      </c>
      <c r="L28" s="83">
        <v>0</v>
      </c>
      <c r="M28" s="83">
        <v>10000000</v>
      </c>
      <c r="N28" s="83">
        <v>0</v>
      </c>
      <c r="O28" s="180">
        <f t="shared" si="4"/>
        <v>30000000</v>
      </c>
      <c r="P28" s="93"/>
    </row>
    <row r="29" spans="1:16" ht="15.75" thickBot="1" x14ac:dyDescent="0.3">
      <c r="A29" s="94" t="s">
        <v>12</v>
      </c>
      <c r="B29" s="94"/>
      <c r="C29" s="20">
        <f t="shared" ref="C29:O29" si="5">SUM(C22:C28)</f>
        <v>0</v>
      </c>
      <c r="D29" s="20">
        <f t="shared" si="5"/>
        <v>24000000</v>
      </c>
      <c r="E29" s="20">
        <f t="shared" si="5"/>
        <v>0</v>
      </c>
      <c r="F29" s="20">
        <f t="shared" si="5"/>
        <v>0</v>
      </c>
      <c r="G29" s="20">
        <f t="shared" si="5"/>
        <v>30000000</v>
      </c>
      <c r="H29" s="20">
        <f t="shared" si="5"/>
        <v>0</v>
      </c>
      <c r="I29" s="20">
        <f t="shared" si="5"/>
        <v>0</v>
      </c>
      <c r="J29" s="20">
        <f t="shared" si="5"/>
        <v>4000000</v>
      </c>
      <c r="K29" s="20">
        <f t="shared" si="5"/>
        <v>0</v>
      </c>
      <c r="L29" s="20">
        <f t="shared" si="5"/>
        <v>0</v>
      </c>
      <c r="M29" s="20">
        <f t="shared" si="5"/>
        <v>10000000</v>
      </c>
      <c r="N29" s="20">
        <f t="shared" si="5"/>
        <v>0</v>
      </c>
      <c r="O29" s="56">
        <f t="shared" si="5"/>
        <v>68000000</v>
      </c>
      <c r="P29" s="30"/>
    </row>
    <row r="30" spans="1:16" ht="6" customHeight="1" thickBot="1" x14ac:dyDescent="0.3"/>
    <row r="31" spans="1:16" ht="19.5" thickBot="1" x14ac:dyDescent="0.3">
      <c r="A31" s="96" t="str">
        <f>O31</f>
        <v>25/26</v>
      </c>
      <c r="B31" s="95" t="s">
        <v>93</v>
      </c>
      <c r="C31" s="95">
        <v>45839</v>
      </c>
      <c r="D31" s="95">
        <v>45870</v>
      </c>
      <c r="E31" s="95">
        <v>45901</v>
      </c>
      <c r="F31" s="95">
        <v>45931</v>
      </c>
      <c r="G31" s="95">
        <v>45962</v>
      </c>
      <c r="H31" s="95">
        <v>45992</v>
      </c>
      <c r="I31" s="95">
        <v>46023</v>
      </c>
      <c r="J31" s="95">
        <v>46054</v>
      </c>
      <c r="K31" s="95">
        <v>46082</v>
      </c>
      <c r="L31" s="95">
        <v>46113</v>
      </c>
      <c r="M31" s="95">
        <v>46143</v>
      </c>
      <c r="N31" s="95">
        <v>46174</v>
      </c>
      <c r="O31" s="96" t="s">
        <v>51</v>
      </c>
      <c r="P31" s="97"/>
    </row>
    <row r="32" spans="1:16" x14ac:dyDescent="0.25">
      <c r="A32" s="82" t="s">
        <v>87</v>
      </c>
      <c r="B32" s="82">
        <v>8000000</v>
      </c>
      <c r="C32" s="82">
        <v>0</v>
      </c>
      <c r="D32" s="82">
        <v>4000000</v>
      </c>
      <c r="E32" s="82">
        <v>0</v>
      </c>
      <c r="F32" s="82">
        <v>0</v>
      </c>
      <c r="G32" s="82">
        <v>0</v>
      </c>
      <c r="H32" s="82">
        <v>0</v>
      </c>
      <c r="I32" s="82">
        <v>0</v>
      </c>
      <c r="J32" s="82">
        <v>4000000</v>
      </c>
      <c r="K32" s="82">
        <v>0</v>
      </c>
      <c r="L32" s="82">
        <v>0</v>
      </c>
      <c r="M32" s="82">
        <v>0</v>
      </c>
      <c r="N32" s="82">
        <v>0</v>
      </c>
      <c r="O32" s="179">
        <f t="shared" ref="O32:O38" si="6">SUM(C32:N32)</f>
        <v>8000000</v>
      </c>
      <c r="P32" s="92"/>
    </row>
    <row r="33" spans="1:16" x14ac:dyDescent="0.25">
      <c r="A33" s="83" t="s">
        <v>88</v>
      </c>
      <c r="B33" s="83">
        <v>250000</v>
      </c>
      <c r="C33" s="83">
        <v>0</v>
      </c>
      <c r="D33" s="83">
        <v>0</v>
      </c>
      <c r="E33" s="83">
        <v>0</v>
      </c>
      <c r="F33" s="83">
        <v>0</v>
      </c>
      <c r="G33" s="83">
        <v>0</v>
      </c>
      <c r="H33" s="83">
        <v>0</v>
      </c>
      <c r="I33" s="83">
        <v>0</v>
      </c>
      <c r="J33" s="83">
        <v>0</v>
      </c>
      <c r="K33" s="83">
        <v>0</v>
      </c>
      <c r="L33" s="83">
        <v>0</v>
      </c>
      <c r="M33" s="83">
        <v>0</v>
      </c>
      <c r="N33" s="83">
        <v>0</v>
      </c>
      <c r="O33" s="180">
        <f t="shared" si="6"/>
        <v>0</v>
      </c>
      <c r="P33" s="93"/>
    </row>
    <row r="34" spans="1:16" x14ac:dyDescent="0.25">
      <c r="A34" s="83" t="s">
        <v>89</v>
      </c>
      <c r="B34" s="83">
        <v>10000</v>
      </c>
      <c r="C34" s="83">
        <v>0</v>
      </c>
      <c r="D34" s="83">
        <v>0</v>
      </c>
      <c r="E34" s="83">
        <v>0</v>
      </c>
      <c r="F34" s="83">
        <v>0</v>
      </c>
      <c r="G34" s="83">
        <v>0</v>
      </c>
      <c r="H34" s="83">
        <v>0</v>
      </c>
      <c r="I34" s="83">
        <v>0</v>
      </c>
      <c r="J34" s="83">
        <v>0</v>
      </c>
      <c r="K34" s="83">
        <v>0</v>
      </c>
      <c r="L34" s="83">
        <v>0</v>
      </c>
      <c r="M34" s="83">
        <v>0</v>
      </c>
      <c r="N34" s="83">
        <v>0</v>
      </c>
      <c r="O34" s="180">
        <f t="shared" si="6"/>
        <v>0</v>
      </c>
      <c r="P34" s="93"/>
    </row>
    <row r="35" spans="1:16" x14ac:dyDescent="0.25">
      <c r="A35" s="83" t="s">
        <v>90</v>
      </c>
      <c r="B35" s="83">
        <v>2000000</v>
      </c>
      <c r="C35" s="83">
        <v>0</v>
      </c>
      <c r="D35" s="83">
        <v>0</v>
      </c>
      <c r="E35" s="83">
        <v>0</v>
      </c>
      <c r="F35" s="83">
        <v>0</v>
      </c>
      <c r="G35" s="83">
        <v>0</v>
      </c>
      <c r="H35" s="83">
        <v>0</v>
      </c>
      <c r="I35" s="83">
        <v>0</v>
      </c>
      <c r="J35" s="83">
        <v>0</v>
      </c>
      <c r="K35" s="83">
        <v>0</v>
      </c>
      <c r="L35" s="83">
        <v>0</v>
      </c>
      <c r="M35" s="83">
        <v>0</v>
      </c>
      <c r="N35" s="83">
        <v>0</v>
      </c>
      <c r="O35" s="180">
        <f t="shared" si="6"/>
        <v>0</v>
      </c>
      <c r="P35" s="93"/>
    </row>
    <row r="36" spans="1:16" x14ac:dyDescent="0.25">
      <c r="A36" s="83" t="s">
        <v>91</v>
      </c>
      <c r="B36" s="83">
        <v>50000000</v>
      </c>
      <c r="C36" s="83">
        <v>0</v>
      </c>
      <c r="D36" s="83">
        <v>0</v>
      </c>
      <c r="E36" s="83">
        <v>0</v>
      </c>
      <c r="F36" s="83">
        <v>0</v>
      </c>
      <c r="G36" s="83">
        <v>0</v>
      </c>
      <c r="H36" s="83">
        <v>0</v>
      </c>
      <c r="I36" s="83">
        <v>0</v>
      </c>
      <c r="J36" s="83">
        <v>0</v>
      </c>
      <c r="K36" s="83">
        <v>0</v>
      </c>
      <c r="L36" s="83">
        <v>0</v>
      </c>
      <c r="M36" s="83">
        <v>0</v>
      </c>
      <c r="N36" s="83">
        <v>0</v>
      </c>
      <c r="O36" s="180">
        <f t="shared" si="6"/>
        <v>0</v>
      </c>
      <c r="P36" s="93"/>
    </row>
    <row r="37" spans="1:16" x14ac:dyDescent="0.25">
      <c r="A37" s="83" t="s">
        <v>92</v>
      </c>
      <c r="B37" s="83">
        <v>20000000</v>
      </c>
      <c r="C37" s="83">
        <v>0</v>
      </c>
      <c r="D37" s="83">
        <v>0</v>
      </c>
      <c r="E37" s="83">
        <v>0</v>
      </c>
      <c r="F37" s="83">
        <v>0</v>
      </c>
      <c r="G37" s="83">
        <v>0</v>
      </c>
      <c r="H37" s="83">
        <v>0</v>
      </c>
      <c r="I37" s="83">
        <v>0</v>
      </c>
      <c r="J37" s="83">
        <v>0</v>
      </c>
      <c r="K37" s="83">
        <v>0</v>
      </c>
      <c r="L37" s="83">
        <v>0</v>
      </c>
      <c r="M37" s="83">
        <v>0</v>
      </c>
      <c r="N37" s="83">
        <v>0</v>
      </c>
      <c r="O37" s="180">
        <f t="shared" si="6"/>
        <v>0</v>
      </c>
      <c r="P37" s="93"/>
    </row>
    <row r="38" spans="1:16" ht="15.75" thickBot="1" x14ac:dyDescent="0.3">
      <c r="A38" s="83" t="s">
        <v>162</v>
      </c>
      <c r="C38" s="83">
        <v>0</v>
      </c>
      <c r="D38" s="83">
        <v>0</v>
      </c>
      <c r="E38" s="83">
        <v>0</v>
      </c>
      <c r="F38" s="83">
        <v>0</v>
      </c>
      <c r="G38" s="83">
        <v>10000000</v>
      </c>
      <c r="H38" s="83">
        <v>0</v>
      </c>
      <c r="I38" s="83">
        <v>0</v>
      </c>
      <c r="J38" s="83">
        <v>0</v>
      </c>
      <c r="K38" s="83">
        <v>0</v>
      </c>
      <c r="L38" s="83">
        <v>0</v>
      </c>
      <c r="M38" s="83">
        <v>20000000</v>
      </c>
      <c r="N38" s="83">
        <v>0</v>
      </c>
      <c r="O38" s="180">
        <f t="shared" si="6"/>
        <v>30000000</v>
      </c>
      <c r="P38" s="93"/>
    </row>
    <row r="39" spans="1:16" ht="15.75" thickBot="1" x14ac:dyDescent="0.3">
      <c r="A39" s="94" t="s">
        <v>12</v>
      </c>
      <c r="B39" s="94"/>
      <c r="C39" s="20">
        <f t="shared" ref="C39:O39" si="7">SUM(C32:C38)</f>
        <v>0</v>
      </c>
      <c r="D39" s="20">
        <f t="shared" si="7"/>
        <v>4000000</v>
      </c>
      <c r="E39" s="20">
        <f t="shared" si="7"/>
        <v>0</v>
      </c>
      <c r="F39" s="20">
        <f t="shared" si="7"/>
        <v>0</v>
      </c>
      <c r="G39" s="20">
        <f t="shared" si="7"/>
        <v>10000000</v>
      </c>
      <c r="H39" s="20">
        <f t="shared" si="7"/>
        <v>0</v>
      </c>
      <c r="I39" s="20">
        <f t="shared" si="7"/>
        <v>0</v>
      </c>
      <c r="J39" s="20">
        <f t="shared" si="7"/>
        <v>4000000</v>
      </c>
      <c r="K39" s="20">
        <f t="shared" si="7"/>
        <v>0</v>
      </c>
      <c r="L39" s="20">
        <f t="shared" si="7"/>
        <v>0</v>
      </c>
      <c r="M39" s="20">
        <f t="shared" si="7"/>
        <v>20000000</v>
      </c>
      <c r="N39" s="20">
        <f t="shared" si="7"/>
        <v>0</v>
      </c>
      <c r="O39" s="56">
        <f t="shared" si="7"/>
        <v>38000000</v>
      </c>
      <c r="P39" s="30"/>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A32B4-347E-46A1-9DF5-4526529329E3}">
  <dimension ref="A1:T30"/>
  <sheetViews>
    <sheetView workbookViewId="0">
      <selection activeCell="I33" sqref="I33"/>
    </sheetView>
  </sheetViews>
  <sheetFormatPr defaultRowHeight="15" x14ac:dyDescent="0.25"/>
  <cols>
    <col min="1" max="1" width="5.7109375" bestFit="1" customWidth="1"/>
    <col min="2" max="2" width="15.85546875" customWidth="1"/>
    <col min="3" max="3" width="28.7109375" bestFit="1" customWidth="1"/>
    <col min="4" max="4" width="6.5703125" customWidth="1"/>
    <col min="5" max="5" width="11.42578125" bestFit="1" customWidth="1"/>
    <col min="6" max="6" width="1.85546875" customWidth="1"/>
    <col min="7" max="7" width="11.42578125" bestFit="1" customWidth="1"/>
    <col min="8" max="8" width="1.85546875" customWidth="1"/>
    <col min="9" max="9" width="11.42578125" bestFit="1" customWidth="1"/>
    <col min="10" max="10" width="1.7109375" customWidth="1"/>
    <col min="11" max="11" width="11.42578125" bestFit="1" customWidth="1"/>
    <col min="12" max="12" width="1.7109375" customWidth="1"/>
    <col min="13" max="13" width="11.5703125" bestFit="1" customWidth="1"/>
    <col min="14" max="14" width="1.85546875" customWidth="1"/>
    <col min="15" max="15" width="11.5703125" bestFit="1" customWidth="1"/>
    <col min="16" max="16" width="1.85546875" customWidth="1"/>
    <col min="17" max="17" width="11.5703125" bestFit="1" customWidth="1"/>
    <col min="18" max="18" width="1.85546875" customWidth="1"/>
  </cols>
  <sheetData>
    <row r="1" spans="1:20" ht="18.75" x14ac:dyDescent="0.3">
      <c r="B1" s="301" t="s">
        <v>200</v>
      </c>
      <c r="C1" s="300" t="s">
        <v>188</v>
      </c>
    </row>
    <row r="2" spans="1:20" ht="19.5" thickBot="1" x14ac:dyDescent="0.35">
      <c r="B2" s="302">
        <f>SUM(E7:Q7)-O7</f>
        <v>6</v>
      </c>
      <c r="C2" s="303">
        <f>B28</f>
        <v>611490</v>
      </c>
    </row>
    <row r="3" spans="1:20" ht="26.25" x14ac:dyDescent="0.3">
      <c r="A3" s="336"/>
      <c r="B3" s="304"/>
      <c r="C3" s="305"/>
      <c r="D3" s="294"/>
      <c r="E3" s="294" t="s">
        <v>190</v>
      </c>
      <c r="F3" s="298"/>
      <c r="G3" s="294" t="s">
        <v>191</v>
      </c>
      <c r="H3" s="298"/>
      <c r="I3" s="294" t="s">
        <v>192</v>
      </c>
      <c r="J3" s="298"/>
      <c r="K3" s="294" t="s">
        <v>193</v>
      </c>
      <c r="L3" s="298"/>
      <c r="M3" s="294" t="s">
        <v>194</v>
      </c>
      <c r="N3" s="298"/>
      <c r="O3" s="294" t="s">
        <v>195</v>
      </c>
      <c r="P3" s="298"/>
      <c r="Q3" s="294" t="s">
        <v>64</v>
      </c>
      <c r="R3" s="306"/>
    </row>
    <row r="4" spans="1:20" ht="26.25" x14ac:dyDescent="0.25">
      <c r="A4" s="337"/>
      <c r="B4" s="307"/>
      <c r="C4" s="308" t="s">
        <v>30</v>
      </c>
      <c r="D4" s="309"/>
      <c r="E4" s="310" t="s">
        <v>31</v>
      </c>
      <c r="F4" s="173"/>
      <c r="G4" s="310" t="s">
        <v>31</v>
      </c>
      <c r="H4" s="173"/>
      <c r="I4" s="310" t="s">
        <v>31</v>
      </c>
      <c r="J4" s="173"/>
      <c r="K4" s="310" t="s">
        <v>31</v>
      </c>
      <c r="L4" s="173"/>
      <c r="M4" s="310" t="s">
        <v>31</v>
      </c>
      <c r="N4" s="173"/>
      <c r="O4" s="310" t="s">
        <v>31</v>
      </c>
      <c r="P4" s="173"/>
      <c r="Q4" s="310" t="s">
        <v>31</v>
      </c>
      <c r="R4" s="311"/>
    </row>
    <row r="5" spans="1:20" ht="26.25" x14ac:dyDescent="0.25">
      <c r="A5" s="337"/>
      <c r="B5" s="307"/>
      <c r="C5" s="312" t="s">
        <v>32</v>
      </c>
      <c r="D5" s="33"/>
      <c r="E5" s="34">
        <v>55000</v>
      </c>
      <c r="F5" s="173"/>
      <c r="G5" s="34">
        <v>90000</v>
      </c>
      <c r="H5" s="173"/>
      <c r="I5" s="34">
        <v>125000</v>
      </c>
      <c r="J5" s="173"/>
      <c r="K5" s="34">
        <v>140000</v>
      </c>
      <c r="L5" s="173"/>
      <c r="M5" s="34">
        <v>130000</v>
      </c>
      <c r="N5" s="173"/>
      <c r="O5" s="34">
        <v>180000</v>
      </c>
      <c r="P5" s="173"/>
      <c r="Q5" s="34"/>
      <c r="R5" s="311"/>
    </row>
    <row r="6" spans="1:20" ht="26.25" x14ac:dyDescent="0.25">
      <c r="A6" s="337"/>
      <c r="B6" s="307"/>
      <c r="C6" s="312" t="s">
        <v>33</v>
      </c>
      <c r="D6" s="313"/>
      <c r="E6" s="35">
        <v>0</v>
      </c>
      <c r="F6" s="173"/>
      <c r="G6" s="35">
        <v>0</v>
      </c>
      <c r="H6" s="173"/>
      <c r="I6" s="35">
        <v>0</v>
      </c>
      <c r="J6" s="173"/>
      <c r="K6" s="35">
        <v>0</v>
      </c>
      <c r="L6" s="173"/>
      <c r="M6" s="35">
        <v>0</v>
      </c>
      <c r="N6" s="173"/>
      <c r="O6" s="35">
        <v>0</v>
      </c>
      <c r="P6" s="173"/>
      <c r="Q6" s="35">
        <v>0</v>
      </c>
      <c r="R6" s="311"/>
    </row>
    <row r="7" spans="1:20" ht="15.75" x14ac:dyDescent="0.25">
      <c r="A7" s="337"/>
      <c r="B7" s="325" t="s">
        <v>198</v>
      </c>
      <c r="C7" s="314" t="s">
        <v>196</v>
      </c>
      <c r="D7" s="326">
        <f>SUM(E7:Q7)</f>
        <v>6</v>
      </c>
      <c r="E7" s="322">
        <v>2</v>
      </c>
      <c r="F7" s="323"/>
      <c r="G7" s="322">
        <v>2</v>
      </c>
      <c r="H7" s="323"/>
      <c r="I7" s="322">
        <v>1</v>
      </c>
      <c r="J7" s="323"/>
      <c r="K7" s="322"/>
      <c r="L7" s="323"/>
      <c r="M7" s="322">
        <v>1</v>
      </c>
      <c r="N7" s="323"/>
      <c r="O7" s="322"/>
      <c r="P7" s="323"/>
      <c r="Q7" s="322"/>
      <c r="R7" s="311"/>
      <c r="S7">
        <f>SUM(E7:Q7)*7.5</f>
        <v>45</v>
      </c>
      <c r="T7">
        <f>S7*5</f>
        <v>225</v>
      </c>
    </row>
    <row r="8" spans="1:20" ht="15.75" x14ac:dyDescent="0.25">
      <c r="A8" s="337"/>
      <c r="B8" s="325">
        <v>12</v>
      </c>
      <c r="C8" s="314" t="s">
        <v>197</v>
      </c>
      <c r="D8" s="313">
        <f>B8/12</f>
        <v>1</v>
      </c>
      <c r="E8" s="324">
        <f>E7*$D$8</f>
        <v>2</v>
      </c>
      <c r="F8" s="173"/>
      <c r="G8" s="324">
        <f>G7*$D$8</f>
        <v>2</v>
      </c>
      <c r="H8" s="173"/>
      <c r="I8" s="324">
        <f>I7*$D$8</f>
        <v>1</v>
      </c>
      <c r="J8" s="173"/>
      <c r="K8" s="324">
        <f>K7*$D$8</f>
        <v>0</v>
      </c>
      <c r="L8" s="173"/>
      <c r="M8" s="324">
        <f>M7*$D$8</f>
        <v>1</v>
      </c>
      <c r="N8" s="173"/>
      <c r="O8" s="324">
        <f>O7*$D$8</f>
        <v>0</v>
      </c>
      <c r="P8" s="173"/>
      <c r="Q8" s="324"/>
      <c r="R8" s="311"/>
      <c r="S8" s="321"/>
    </row>
    <row r="9" spans="1:20" ht="15.75" x14ac:dyDescent="0.25">
      <c r="A9" s="337"/>
      <c r="B9" s="325" t="s">
        <v>199</v>
      </c>
      <c r="C9" s="315" t="s">
        <v>34</v>
      </c>
      <c r="D9" s="316" t="s">
        <v>35</v>
      </c>
      <c r="E9" s="310" t="s">
        <v>31</v>
      </c>
      <c r="F9" s="173"/>
      <c r="G9" s="310" t="s">
        <v>31</v>
      </c>
      <c r="H9" s="173"/>
      <c r="I9" s="310" t="s">
        <v>31</v>
      </c>
      <c r="J9" s="173"/>
      <c r="K9" s="310" t="s">
        <v>31</v>
      </c>
      <c r="L9" s="173"/>
      <c r="M9" s="310" t="s">
        <v>31</v>
      </c>
      <c r="N9" s="173"/>
      <c r="O9" s="310" t="s">
        <v>31</v>
      </c>
      <c r="P9" s="173"/>
      <c r="Q9" s="310" t="s">
        <v>31</v>
      </c>
      <c r="R9" s="311"/>
    </row>
    <row r="10" spans="1:20" ht="26.25" x14ac:dyDescent="0.25">
      <c r="A10" s="337"/>
      <c r="B10" s="307"/>
      <c r="C10" s="312" t="s">
        <v>36</v>
      </c>
      <c r="D10" s="36">
        <v>0.12</v>
      </c>
      <c r="E10" s="37">
        <f>IF((+E5+E6)*$D10&gt;21002.6,21002.6,(E5+E6)*$D10)</f>
        <v>6600</v>
      </c>
      <c r="F10" s="173"/>
      <c r="G10" s="37">
        <f>IF((+G5+G6)*$D10&gt;21002.6,21002.6,(G5+G6)*$D10)</f>
        <v>10800</v>
      </c>
      <c r="H10" s="173"/>
      <c r="I10" s="37">
        <f>IF((+I5+I6)*$D10&gt;21002.6,21002.6,(I5+I6)*$D10)</f>
        <v>15000</v>
      </c>
      <c r="J10" s="173"/>
      <c r="K10" s="37">
        <f>IF((+K5+K6)*$D10&gt;21002.6,21002.6,(K5+K6)*$D10)</f>
        <v>16800</v>
      </c>
      <c r="L10" s="173"/>
      <c r="M10" s="37">
        <f>IF((+M5+M6)*$D10&gt;21002.6,21002.6,(M5+M6)*$D10)</f>
        <v>15600</v>
      </c>
      <c r="N10" s="173"/>
      <c r="O10" s="37">
        <f>IF((+O5+O6)*$D10&gt;21002.6,21002.6,(O5+O6)*$D10)</f>
        <v>21002.6</v>
      </c>
      <c r="P10" s="173"/>
      <c r="Q10" s="37">
        <f>IF((+Q5+Q6)*$D10&gt;21002.6,21002.6,(Q5+Q6)*$D10)</f>
        <v>0</v>
      </c>
      <c r="R10" s="311"/>
    </row>
    <row r="11" spans="1:20" ht="26.25" x14ac:dyDescent="0.25">
      <c r="A11" s="337"/>
      <c r="B11" s="307"/>
      <c r="C11" s="312" t="s">
        <v>37</v>
      </c>
      <c r="D11" s="38">
        <v>0</v>
      </c>
      <c r="E11" s="37">
        <f>+(E5+E6)*$D11</f>
        <v>0</v>
      </c>
      <c r="F11" s="173"/>
      <c r="G11" s="37">
        <f>+(G5+G6)*$D11</f>
        <v>0</v>
      </c>
      <c r="H11" s="173"/>
      <c r="I11" s="37">
        <f>+(I5+I6)*$D11</f>
        <v>0</v>
      </c>
      <c r="J11" s="173"/>
      <c r="K11" s="37">
        <f>+(K5+K6)*$D11</f>
        <v>0</v>
      </c>
      <c r="L11" s="173"/>
      <c r="M11" s="37">
        <f>+(M5+M6)*$D11</f>
        <v>0</v>
      </c>
      <c r="N11" s="173"/>
      <c r="O11" s="37">
        <f>+(O5+O6)*$D11</f>
        <v>0</v>
      </c>
      <c r="P11" s="173"/>
      <c r="Q11" s="37">
        <f>+(Q5+Q6)*$D11</f>
        <v>0</v>
      </c>
      <c r="R11" s="311"/>
    </row>
    <row r="12" spans="1:20" ht="26.25" x14ac:dyDescent="0.25">
      <c r="A12" s="337"/>
      <c r="B12" s="307"/>
      <c r="C12" s="312" t="s">
        <v>38</v>
      </c>
      <c r="D12" s="36">
        <v>0</v>
      </c>
      <c r="E12" s="37">
        <f>(+E5+E6)*$D12</f>
        <v>0</v>
      </c>
      <c r="F12" s="173"/>
      <c r="G12" s="37">
        <f>(+G5+G6)*$D12</f>
        <v>0</v>
      </c>
      <c r="H12" s="173"/>
      <c r="I12" s="37">
        <f>(+I5+I6)*$D12</f>
        <v>0</v>
      </c>
      <c r="J12" s="173"/>
      <c r="K12" s="37">
        <f>(+K5+K6)*$D12</f>
        <v>0</v>
      </c>
      <c r="L12" s="173"/>
      <c r="M12" s="37">
        <f>(+M5+M6)*$D12</f>
        <v>0</v>
      </c>
      <c r="N12" s="173"/>
      <c r="O12" s="37">
        <f>(+O5+O6)*$D12</f>
        <v>0</v>
      </c>
      <c r="P12" s="173"/>
      <c r="Q12" s="37">
        <f>(+Q5+Q6)*$D12</f>
        <v>0</v>
      </c>
      <c r="R12" s="311"/>
    </row>
    <row r="13" spans="1:20" ht="26.25" x14ac:dyDescent="0.25">
      <c r="A13" s="337"/>
      <c r="B13" s="307"/>
      <c r="C13" s="312" t="s">
        <v>39</v>
      </c>
      <c r="D13" s="36">
        <v>0</v>
      </c>
      <c r="E13" s="37">
        <f>(+E5/52*4)*$D13</f>
        <v>0</v>
      </c>
      <c r="F13" s="173"/>
      <c r="G13" s="37">
        <f>(+G5/52*4)*$D13</f>
        <v>0</v>
      </c>
      <c r="H13" s="173"/>
      <c r="I13" s="37">
        <f>(+I5/52*4)*$D13</f>
        <v>0</v>
      </c>
      <c r="J13" s="173"/>
      <c r="K13" s="37">
        <f>(+K5/52*4)*$D13</f>
        <v>0</v>
      </c>
      <c r="L13" s="173"/>
      <c r="M13" s="37">
        <f>(+M5/52*4)*$D13</f>
        <v>0</v>
      </c>
      <c r="N13" s="173"/>
      <c r="O13" s="37">
        <f>(+O5/52*4)*$D13</f>
        <v>0</v>
      </c>
      <c r="P13" s="173"/>
      <c r="Q13" s="37">
        <f>(+Q5/52*4)*$D13</f>
        <v>0</v>
      </c>
      <c r="R13" s="311"/>
    </row>
    <row r="14" spans="1:20" ht="26.25" x14ac:dyDescent="0.25">
      <c r="A14" s="337"/>
      <c r="B14" s="307"/>
      <c r="C14" s="312" t="s">
        <v>40</v>
      </c>
      <c r="D14" s="39">
        <v>0</v>
      </c>
      <c r="E14" s="37">
        <f>+E5*$D14</f>
        <v>0</v>
      </c>
      <c r="F14" s="173"/>
      <c r="G14" s="37">
        <f>+G5*$D14</f>
        <v>0</v>
      </c>
      <c r="H14" s="173"/>
      <c r="I14" s="37">
        <f>+I5*$D14</f>
        <v>0</v>
      </c>
      <c r="J14" s="173"/>
      <c r="K14" s="37">
        <f>+K5*$D14</f>
        <v>0</v>
      </c>
      <c r="L14" s="173"/>
      <c r="M14" s="37">
        <f>+M5*$D14</f>
        <v>0</v>
      </c>
      <c r="N14" s="173"/>
      <c r="O14" s="37">
        <f>+O5*$D14</f>
        <v>0</v>
      </c>
      <c r="P14" s="173"/>
      <c r="Q14" s="37">
        <f>+Q5*$D14</f>
        <v>0</v>
      </c>
      <c r="R14" s="311"/>
    </row>
    <row r="15" spans="1:20" ht="26.25" x14ac:dyDescent="0.25">
      <c r="A15" s="337"/>
      <c r="B15" s="307"/>
      <c r="C15" s="312"/>
      <c r="D15" s="40"/>
      <c r="E15" s="41"/>
      <c r="F15" s="173"/>
      <c r="G15" s="41"/>
      <c r="H15" s="173"/>
      <c r="I15" s="41"/>
      <c r="J15" s="173"/>
      <c r="K15" s="41"/>
      <c r="L15" s="173"/>
      <c r="M15" s="41"/>
      <c r="N15" s="173"/>
      <c r="O15" s="41"/>
      <c r="P15" s="173"/>
      <c r="Q15" s="41"/>
      <c r="R15" s="311"/>
    </row>
    <row r="16" spans="1:20" ht="26.25" x14ac:dyDescent="0.25">
      <c r="A16" s="337"/>
      <c r="B16" s="307"/>
      <c r="C16" s="315" t="s">
        <v>41</v>
      </c>
      <c r="D16" s="308"/>
      <c r="E16" s="310" t="s">
        <v>42</v>
      </c>
      <c r="F16" s="173"/>
      <c r="G16" s="310" t="s">
        <v>42</v>
      </c>
      <c r="H16" s="173"/>
      <c r="I16" s="310" t="s">
        <v>42</v>
      </c>
      <c r="J16" s="173"/>
      <c r="K16" s="310" t="s">
        <v>42</v>
      </c>
      <c r="L16" s="173"/>
      <c r="M16" s="310" t="s">
        <v>42</v>
      </c>
      <c r="N16" s="173"/>
      <c r="O16" s="310" t="s">
        <v>42</v>
      </c>
      <c r="P16" s="173"/>
      <c r="Q16" s="310" t="s">
        <v>42</v>
      </c>
      <c r="R16" s="311"/>
    </row>
    <row r="17" spans="1:18" ht="26.25" x14ac:dyDescent="0.25">
      <c r="A17" s="337"/>
      <c r="B17" s="307"/>
      <c r="C17" s="312" t="s">
        <v>43</v>
      </c>
      <c r="D17" s="42"/>
      <c r="E17" s="43">
        <f>E5*0.002</f>
        <v>110</v>
      </c>
      <c r="F17" s="173"/>
      <c r="G17" s="43">
        <f>G5*0.002</f>
        <v>180</v>
      </c>
      <c r="H17" s="173"/>
      <c r="I17" s="43">
        <f>I5*0.002</f>
        <v>250</v>
      </c>
      <c r="J17" s="173"/>
      <c r="K17" s="43">
        <f>K5*0.002</f>
        <v>280</v>
      </c>
      <c r="L17" s="173"/>
      <c r="M17" s="43">
        <f>M5*0.002</f>
        <v>260</v>
      </c>
      <c r="N17" s="173"/>
      <c r="O17" s="43">
        <f>O5*0.002</f>
        <v>360</v>
      </c>
      <c r="P17" s="173"/>
      <c r="Q17" s="43">
        <f>Q5*0.002</f>
        <v>0</v>
      </c>
      <c r="R17" s="311"/>
    </row>
    <row r="18" spans="1:18" ht="26.25" x14ac:dyDescent="0.25">
      <c r="A18" s="337"/>
      <c r="B18" s="307"/>
      <c r="C18" s="312" t="s">
        <v>44</v>
      </c>
      <c r="D18" s="42"/>
      <c r="E18" s="43"/>
      <c r="F18" s="173"/>
      <c r="G18" s="43"/>
      <c r="H18" s="173"/>
      <c r="I18" s="43"/>
      <c r="J18" s="173"/>
      <c r="K18" s="43"/>
      <c r="L18" s="173"/>
      <c r="M18" s="43"/>
      <c r="N18" s="173"/>
      <c r="O18" s="43"/>
      <c r="P18" s="173"/>
      <c r="Q18" s="43"/>
      <c r="R18" s="311"/>
    </row>
    <row r="19" spans="1:18" ht="26.25" x14ac:dyDescent="0.25">
      <c r="A19" s="337"/>
      <c r="B19" s="307"/>
      <c r="C19" s="312" t="s">
        <v>45</v>
      </c>
      <c r="D19" s="44"/>
      <c r="E19" s="43"/>
      <c r="F19" s="173"/>
      <c r="G19" s="43"/>
      <c r="H19" s="173"/>
      <c r="I19" s="43"/>
      <c r="J19" s="173"/>
      <c r="K19" s="43"/>
      <c r="L19" s="173"/>
      <c r="M19" s="43"/>
      <c r="N19" s="173"/>
      <c r="O19" s="43"/>
      <c r="P19" s="173"/>
      <c r="Q19" s="43"/>
      <c r="R19" s="311"/>
    </row>
    <row r="20" spans="1:18" ht="26.25" x14ac:dyDescent="0.25">
      <c r="A20" s="337"/>
      <c r="B20" s="307"/>
      <c r="C20" s="312" t="s">
        <v>10</v>
      </c>
      <c r="D20" s="42"/>
      <c r="E20" s="43"/>
      <c r="F20" s="173"/>
      <c r="G20" s="43"/>
      <c r="H20" s="173"/>
      <c r="I20" s="43"/>
      <c r="J20" s="173"/>
      <c r="K20" s="43"/>
      <c r="L20" s="173"/>
      <c r="M20" s="43"/>
      <c r="N20" s="173"/>
      <c r="O20" s="43"/>
      <c r="P20" s="173"/>
      <c r="Q20" s="43"/>
      <c r="R20" s="311"/>
    </row>
    <row r="21" spans="1:18" ht="26.25" x14ac:dyDescent="0.25">
      <c r="A21" s="337"/>
      <c r="B21" s="307"/>
      <c r="C21" s="312" t="s">
        <v>46</v>
      </c>
      <c r="D21" s="42"/>
      <c r="E21" s="43"/>
      <c r="F21" s="173"/>
      <c r="G21" s="43"/>
      <c r="H21" s="173"/>
      <c r="I21" s="43"/>
      <c r="J21" s="173"/>
      <c r="K21" s="43"/>
      <c r="L21" s="173"/>
      <c r="M21" s="43"/>
      <c r="N21" s="173"/>
      <c r="O21" s="43"/>
      <c r="P21" s="173"/>
      <c r="Q21" s="43"/>
      <c r="R21" s="311"/>
    </row>
    <row r="22" spans="1:18" ht="26.25" x14ac:dyDescent="0.25">
      <c r="A22" s="337"/>
      <c r="B22" s="307"/>
      <c r="C22" s="312" t="s">
        <v>47</v>
      </c>
      <c r="D22" s="317"/>
      <c r="E22" s="43"/>
      <c r="F22" s="173"/>
      <c r="G22" s="43"/>
      <c r="H22" s="173"/>
      <c r="I22" s="43"/>
      <c r="J22" s="173"/>
      <c r="K22" s="43"/>
      <c r="L22" s="173"/>
      <c r="M22" s="43"/>
      <c r="N22" s="173"/>
      <c r="O22" s="43"/>
      <c r="P22" s="173"/>
      <c r="Q22" s="43"/>
      <c r="R22" s="311"/>
    </row>
    <row r="23" spans="1:18" ht="26.25" x14ac:dyDescent="0.25">
      <c r="A23" s="337"/>
      <c r="B23" s="307"/>
      <c r="C23" s="312" t="s">
        <v>100</v>
      </c>
      <c r="D23" s="317"/>
      <c r="E23" s="43"/>
      <c r="F23" s="173"/>
      <c r="G23" s="43"/>
      <c r="H23" s="173"/>
      <c r="I23" s="43"/>
      <c r="J23" s="173"/>
      <c r="K23" s="43"/>
      <c r="L23" s="173"/>
      <c r="M23" s="43"/>
      <c r="N23" s="173"/>
      <c r="O23" s="43"/>
      <c r="P23" s="173"/>
      <c r="Q23" s="43"/>
      <c r="R23" s="311"/>
    </row>
    <row r="24" spans="1:18" ht="26.25" x14ac:dyDescent="0.25">
      <c r="A24" s="337"/>
      <c r="B24" s="307"/>
      <c r="C24" s="312" t="s">
        <v>50</v>
      </c>
      <c r="D24" s="44"/>
      <c r="E24" s="43"/>
      <c r="F24" s="173"/>
      <c r="G24" s="43"/>
      <c r="H24" s="173"/>
      <c r="I24" s="43"/>
      <c r="J24" s="173"/>
      <c r="K24" s="43"/>
      <c r="L24" s="173"/>
      <c r="M24" s="43"/>
      <c r="N24" s="173"/>
      <c r="O24" s="43"/>
      <c r="P24" s="173"/>
      <c r="Q24" s="43"/>
      <c r="R24" s="311"/>
    </row>
    <row r="25" spans="1:18" ht="26.25" x14ac:dyDescent="0.25">
      <c r="A25" s="337"/>
      <c r="B25" s="307"/>
      <c r="C25" s="312" t="s">
        <v>48</v>
      </c>
      <c r="D25" s="317"/>
      <c r="E25" s="43"/>
      <c r="F25" s="173"/>
      <c r="G25" s="43"/>
      <c r="H25" s="173"/>
      <c r="I25" s="43"/>
      <c r="J25" s="173"/>
      <c r="K25" s="43"/>
      <c r="L25" s="173"/>
      <c r="M25" s="43"/>
      <c r="N25" s="173"/>
      <c r="O25" s="43"/>
      <c r="P25" s="173"/>
      <c r="Q25" s="43"/>
      <c r="R25" s="311"/>
    </row>
    <row r="26" spans="1:18" ht="26.25" x14ac:dyDescent="0.25">
      <c r="A26" s="337"/>
      <c r="B26" s="307"/>
      <c r="C26" s="318"/>
      <c r="D26" s="318"/>
      <c r="E26" s="318"/>
      <c r="F26" s="173"/>
      <c r="G26" s="318"/>
      <c r="H26" s="173"/>
      <c r="I26" s="318"/>
      <c r="J26" s="173"/>
      <c r="K26" s="318"/>
      <c r="L26" s="173"/>
      <c r="M26" s="318"/>
      <c r="N26" s="173"/>
      <c r="O26" s="318"/>
      <c r="P26" s="173"/>
      <c r="Q26" s="318"/>
      <c r="R26" s="311"/>
    </row>
    <row r="27" spans="1:18" ht="18" customHeight="1" thickBot="1" x14ac:dyDescent="0.3">
      <c r="A27" s="337"/>
      <c r="B27" s="307"/>
      <c r="C27" s="295" t="s">
        <v>219</v>
      </c>
      <c r="D27" s="296"/>
      <c r="E27" s="297">
        <f>(SUM(E10:E25)+E5+E6)</f>
        <v>61710</v>
      </c>
      <c r="F27" s="299"/>
      <c r="G27" s="297">
        <f>(SUM(G10:G25)+G5+G6)</f>
        <v>100980</v>
      </c>
      <c r="H27" s="299"/>
      <c r="I27" s="297">
        <f>(SUM(I10:I25)+I5+I6)</f>
        <v>140250</v>
      </c>
      <c r="J27" s="299"/>
      <c r="K27" s="297">
        <f>(SUM(K10:K25)+K5+K6)</f>
        <v>157080</v>
      </c>
      <c r="L27" s="299"/>
      <c r="M27" s="297">
        <f>(SUM(M10:M25)+M5+M6)</f>
        <v>145860</v>
      </c>
      <c r="N27" s="299"/>
      <c r="O27" s="297">
        <f>(SUM(O10:O25)+O5+O6)</f>
        <v>201362.6</v>
      </c>
      <c r="P27" s="299"/>
      <c r="Q27" s="297">
        <f>(SUM(Q10:Q25)+Q5+Q6)</f>
        <v>0</v>
      </c>
      <c r="R27" s="320"/>
    </row>
    <row r="28" spans="1:18" ht="18" customHeight="1" thickBot="1" x14ac:dyDescent="0.3">
      <c r="A28" s="338"/>
      <c r="B28" s="319">
        <f>SUM(E28:Q28)</f>
        <v>611490</v>
      </c>
      <c r="C28" s="295" t="s">
        <v>49</v>
      </c>
      <c r="D28" s="296"/>
      <c r="E28" s="297">
        <f>(SUM(E10:E25)+E5+E6)*E8</f>
        <v>123420</v>
      </c>
      <c r="F28" s="299"/>
      <c r="G28" s="297">
        <f>(SUM(G10:G25)+G5+G6)*G8</f>
        <v>201960</v>
      </c>
      <c r="H28" s="299"/>
      <c r="I28" s="297">
        <f>(SUM(I10:I25)+I5+I6)*I8</f>
        <v>140250</v>
      </c>
      <c r="J28" s="299"/>
      <c r="K28" s="297">
        <f>(SUM(K10:K25)+K5+K6)*K8</f>
        <v>0</v>
      </c>
      <c r="L28" s="299"/>
      <c r="M28" s="297">
        <f>(SUM(M10:M25)+M5+M6)*M8</f>
        <v>145860</v>
      </c>
      <c r="N28" s="299"/>
      <c r="O28" s="297">
        <f>(SUM(O10:O25)+O5+O6)*O8</f>
        <v>0</v>
      </c>
      <c r="P28" s="299"/>
      <c r="Q28" s="297">
        <f>(SUM(Q10:Q25)+Q5+Q6)*Q8</f>
        <v>0</v>
      </c>
      <c r="R28" s="320"/>
    </row>
    <row r="29" spans="1:18" ht="18" customHeight="1" thickBot="1" x14ac:dyDescent="0.3">
      <c r="C29" s="295" t="s">
        <v>202</v>
      </c>
      <c r="D29" s="296"/>
      <c r="E29" s="297">
        <f t="shared" ref="E27:E29" si="0">E28/52</f>
        <v>2373.4615384615386</v>
      </c>
      <c r="F29" s="299"/>
      <c r="G29" s="297">
        <f t="shared" ref="G27:G29" si="1">G28/52</f>
        <v>3883.8461538461538</v>
      </c>
      <c r="H29" s="299"/>
      <c r="I29" s="297">
        <f>I28/52</f>
        <v>2697.1153846153848</v>
      </c>
      <c r="J29" s="299"/>
      <c r="K29" s="297">
        <f t="shared" ref="K27:Q29" si="2">K28/52</f>
        <v>0</v>
      </c>
      <c r="L29" s="299"/>
      <c r="M29" s="297">
        <f t="shared" si="2"/>
        <v>2805</v>
      </c>
      <c r="N29" s="299"/>
      <c r="O29" s="297">
        <f t="shared" si="2"/>
        <v>0</v>
      </c>
      <c r="P29" s="299"/>
      <c r="Q29" s="297">
        <f t="shared" si="2"/>
        <v>0</v>
      </c>
      <c r="R29" s="320"/>
    </row>
    <row r="30" spans="1:18" x14ac:dyDescent="0.25">
      <c r="J30" s="321">
        <f t="shared" ref="J30" si="3">J28/52</f>
        <v>0</v>
      </c>
      <c r="K30" s="321"/>
      <c r="L30" s="321"/>
      <c r="M30" s="321"/>
      <c r="N30" s="321"/>
      <c r="O30" s="321"/>
    </row>
  </sheetData>
  <mergeCells count="1">
    <mergeCell ref="A3:A28"/>
  </mergeCells>
  <pageMargins left="0.7" right="0.7" top="0.75" bottom="0.75" header="0.3" footer="0.3"/>
  <pageSetup orientation="portrait" horizontalDpi="360" verticalDpi="36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BEB79-9055-4D98-BD27-48BDD2137114}">
  <dimension ref="A1:K69"/>
  <sheetViews>
    <sheetView workbookViewId="0">
      <selection activeCell="Q27" sqref="Q27"/>
    </sheetView>
  </sheetViews>
  <sheetFormatPr defaultRowHeight="15" x14ac:dyDescent="0.25"/>
  <cols>
    <col min="1" max="1" width="20.140625" bestFit="1" customWidth="1"/>
    <col min="2" max="2" width="9.85546875" hidden="1" customWidth="1"/>
    <col min="3" max="3" width="7.85546875" hidden="1" customWidth="1"/>
    <col min="4" max="4" width="7.42578125" bestFit="1" customWidth="1"/>
    <col min="5" max="5" width="8" hidden="1" customWidth="1"/>
    <col min="6" max="6" width="9.85546875" hidden="1" customWidth="1"/>
    <col min="7" max="7" width="10" hidden="1" customWidth="1"/>
    <col min="8" max="8" width="9.85546875" hidden="1" customWidth="1"/>
    <col min="9" max="9" width="8.85546875" hidden="1" customWidth="1"/>
    <col min="10" max="10" width="15.42578125" bestFit="1" customWidth="1"/>
  </cols>
  <sheetData>
    <row r="1" spans="1:10" x14ac:dyDescent="0.25">
      <c r="A1" s="26"/>
      <c r="B1" s="120" t="s">
        <v>98</v>
      </c>
      <c r="C1" s="4" t="s">
        <v>99</v>
      </c>
      <c r="D1" s="4" t="s">
        <v>101</v>
      </c>
      <c r="E1" s="4" t="s">
        <v>101</v>
      </c>
      <c r="F1" s="4" t="s">
        <v>107</v>
      </c>
      <c r="G1" s="4" t="s">
        <v>100</v>
      </c>
      <c r="H1" s="4" t="s">
        <v>102</v>
      </c>
      <c r="I1" s="4" t="s">
        <v>103</v>
      </c>
      <c r="J1" s="5" t="s">
        <v>104</v>
      </c>
    </row>
    <row r="2" spans="1:10" ht="15.75" thickBot="1" x14ac:dyDescent="0.3">
      <c r="A2" s="4"/>
      <c r="B2" s="11" t="e">
        <f>Costs!#REF!</f>
        <v>#REF!</v>
      </c>
      <c r="C2" s="4" t="s">
        <v>15</v>
      </c>
      <c r="D2" s="4" t="s">
        <v>105</v>
      </c>
      <c r="E2" s="4" t="s">
        <v>106</v>
      </c>
      <c r="F2" s="4" t="s">
        <v>108</v>
      </c>
      <c r="G2" s="127"/>
      <c r="I2" s="126">
        <v>0.3</v>
      </c>
    </row>
    <row r="3" spans="1:10" ht="19.5" thickBot="1" x14ac:dyDescent="0.35">
      <c r="A3" s="144" t="str">
        <f>Costs!B4</f>
        <v>Design</v>
      </c>
      <c r="B3" s="145" t="e">
        <f>Costs!#REF!</f>
        <v>#REF!</v>
      </c>
      <c r="C3" s="146" t="e">
        <f>B3/365</f>
        <v>#REF!</v>
      </c>
      <c r="D3" s="147"/>
      <c r="E3" s="123">
        <f>D3*1.3</f>
        <v>0</v>
      </c>
      <c r="F3" s="117" t="e">
        <f>E3*C$3</f>
        <v>#REF!</v>
      </c>
      <c r="G3" s="125" t="e">
        <f>F67*1.3</f>
        <v>#REF!</v>
      </c>
      <c r="H3" s="129" t="e">
        <f>F43+G3</f>
        <v>#REF!</v>
      </c>
      <c r="I3" s="125" t="e">
        <f>H3*I2</f>
        <v>#REF!</v>
      </c>
      <c r="J3" s="128" t="e">
        <f>I3+H3</f>
        <v>#REF!</v>
      </c>
    </row>
    <row r="4" spans="1:10" x14ac:dyDescent="0.25">
      <c r="A4" s="148" t="s">
        <v>113</v>
      </c>
      <c r="B4" s="149"/>
      <c r="C4" s="150"/>
      <c r="D4" s="151"/>
      <c r="E4" s="124">
        <f>D4*1.3</f>
        <v>0</v>
      </c>
      <c r="F4" s="118" t="e">
        <f t="shared" ref="F4:F11" si="0">E4*C$3</f>
        <v>#REF!</v>
      </c>
    </row>
    <row r="5" spans="1:10" x14ac:dyDescent="0.25">
      <c r="A5" s="148" t="s">
        <v>120</v>
      </c>
      <c r="B5" s="149"/>
      <c r="C5" s="150"/>
      <c r="D5" s="151"/>
      <c r="E5" s="124">
        <f t="shared" ref="E5:E11" si="1">D5*1.3</f>
        <v>0</v>
      </c>
      <c r="F5" s="118" t="e">
        <f t="shared" si="0"/>
        <v>#REF!</v>
      </c>
      <c r="G5" s="118"/>
      <c r="H5" s="118"/>
      <c r="I5" s="118"/>
      <c r="J5" s="118"/>
    </row>
    <row r="6" spans="1:10" x14ac:dyDescent="0.25">
      <c r="A6" s="148" t="s">
        <v>125</v>
      </c>
      <c r="B6" s="149"/>
      <c r="C6" s="150"/>
      <c r="D6" s="151"/>
      <c r="E6" s="124">
        <f t="shared" si="1"/>
        <v>0</v>
      </c>
      <c r="F6" s="118" t="e">
        <f t="shared" si="0"/>
        <v>#REF!</v>
      </c>
      <c r="G6" s="118"/>
      <c r="H6" s="118"/>
      <c r="I6" s="118"/>
      <c r="J6" s="118"/>
    </row>
    <row r="7" spans="1:10" x14ac:dyDescent="0.25">
      <c r="A7" s="148" t="s">
        <v>63</v>
      </c>
      <c r="B7" s="149"/>
      <c r="C7" s="150"/>
      <c r="D7" s="151"/>
      <c r="E7" s="124">
        <f t="shared" si="1"/>
        <v>0</v>
      </c>
      <c r="F7" s="118" t="e">
        <f t="shared" si="0"/>
        <v>#REF!</v>
      </c>
      <c r="G7" s="118"/>
      <c r="H7" s="118"/>
      <c r="I7" s="118"/>
      <c r="J7" s="118"/>
    </row>
    <row r="8" spans="1:10" x14ac:dyDescent="0.25">
      <c r="A8" s="148" t="s">
        <v>126</v>
      </c>
      <c r="B8" s="149"/>
      <c r="C8" s="150"/>
      <c r="D8" s="151"/>
      <c r="E8" s="124">
        <f t="shared" si="1"/>
        <v>0</v>
      </c>
      <c r="F8" s="118" t="e">
        <f t="shared" si="0"/>
        <v>#REF!</v>
      </c>
      <c r="G8" s="118"/>
      <c r="H8" s="118"/>
      <c r="I8" s="118"/>
      <c r="J8" s="118"/>
    </row>
    <row r="9" spans="1:10" x14ac:dyDescent="0.25">
      <c r="A9" s="148" t="s">
        <v>127</v>
      </c>
      <c r="B9" s="149"/>
      <c r="C9" s="150"/>
      <c r="D9" s="151"/>
      <c r="E9" s="124">
        <f t="shared" si="1"/>
        <v>0</v>
      </c>
      <c r="F9" s="118" t="e">
        <f t="shared" si="0"/>
        <v>#REF!</v>
      </c>
      <c r="G9" s="118"/>
      <c r="H9" s="118"/>
      <c r="I9" s="118"/>
      <c r="J9" s="118"/>
    </row>
    <row r="10" spans="1:10" x14ac:dyDescent="0.25">
      <c r="A10" s="148" t="s">
        <v>128</v>
      </c>
      <c r="B10" s="149"/>
      <c r="C10" s="150"/>
      <c r="D10" s="151"/>
      <c r="E10" s="124">
        <f t="shared" si="1"/>
        <v>0</v>
      </c>
      <c r="F10" s="118" t="e">
        <f t="shared" si="0"/>
        <v>#REF!</v>
      </c>
      <c r="G10" s="118"/>
      <c r="H10" s="118"/>
      <c r="I10" s="118"/>
      <c r="J10" s="118"/>
    </row>
    <row r="11" spans="1:10" ht="15.75" thickBot="1" x14ac:dyDescent="0.3">
      <c r="A11" s="148" t="s">
        <v>129</v>
      </c>
      <c r="B11" s="149"/>
      <c r="C11" s="150"/>
      <c r="D11" s="151"/>
      <c r="E11" s="124">
        <f t="shared" si="1"/>
        <v>0</v>
      </c>
      <c r="F11" s="118" t="e">
        <f t="shared" si="0"/>
        <v>#REF!</v>
      </c>
      <c r="G11" s="118"/>
      <c r="H11" s="118"/>
      <c r="I11" s="118"/>
      <c r="J11" s="118"/>
    </row>
    <row r="12" spans="1:10" x14ac:dyDescent="0.25">
      <c r="A12" s="152" t="str">
        <f>Costs!B5</f>
        <v>Animation</v>
      </c>
      <c r="B12" s="153" t="e">
        <f>Costs!#REF!</f>
        <v>#REF!</v>
      </c>
      <c r="C12" s="154" t="e">
        <f>B12/365</f>
        <v>#REF!</v>
      </c>
      <c r="D12" s="155"/>
      <c r="E12" s="123">
        <f>D12*1.3</f>
        <v>0</v>
      </c>
      <c r="F12" s="117" t="e">
        <f>E12*C$12</f>
        <v>#REF!</v>
      </c>
      <c r="G12" s="118"/>
      <c r="H12" s="118"/>
      <c r="I12" s="2"/>
      <c r="J12" s="6"/>
    </row>
    <row r="13" spans="1:10" x14ac:dyDescent="0.25">
      <c r="A13" s="156" t="s">
        <v>113</v>
      </c>
      <c r="B13" s="153"/>
      <c r="C13" s="157"/>
      <c r="D13" s="158"/>
      <c r="E13" s="124">
        <f>D13*1.3</f>
        <v>0</v>
      </c>
      <c r="F13" s="118" t="e">
        <f t="shared" ref="F13:F20" si="2">E13*C$12</f>
        <v>#REF!</v>
      </c>
      <c r="G13" s="118"/>
      <c r="H13" s="118"/>
      <c r="I13" s="118"/>
      <c r="J13" s="118"/>
    </row>
    <row r="14" spans="1:10" x14ac:dyDescent="0.25">
      <c r="A14" s="156" t="s">
        <v>120</v>
      </c>
      <c r="B14" s="153"/>
      <c r="C14" s="157"/>
      <c r="D14" s="158"/>
      <c r="E14" s="124">
        <f t="shared" ref="E14:E20" si="3">D14*1.3</f>
        <v>0</v>
      </c>
      <c r="F14" s="118" t="e">
        <f t="shared" si="2"/>
        <v>#REF!</v>
      </c>
      <c r="G14" s="118"/>
      <c r="H14" s="118"/>
      <c r="I14" s="118"/>
      <c r="J14" s="118"/>
    </row>
    <row r="15" spans="1:10" x14ac:dyDescent="0.25">
      <c r="A15" s="156" t="s">
        <v>125</v>
      </c>
      <c r="B15" s="153"/>
      <c r="C15" s="157"/>
      <c r="D15" s="158"/>
      <c r="E15" s="124">
        <f t="shared" si="3"/>
        <v>0</v>
      </c>
      <c r="F15" s="118" t="e">
        <f t="shared" si="2"/>
        <v>#REF!</v>
      </c>
      <c r="G15" s="118"/>
      <c r="H15" s="118"/>
      <c r="I15" s="118"/>
      <c r="J15" s="118"/>
    </row>
    <row r="16" spans="1:10" x14ac:dyDescent="0.25">
      <c r="A16" s="156" t="s">
        <v>63</v>
      </c>
      <c r="B16" s="153"/>
      <c r="C16" s="157"/>
      <c r="D16" s="158"/>
      <c r="E16" s="124">
        <f t="shared" si="3"/>
        <v>0</v>
      </c>
      <c r="F16" s="118" t="e">
        <f t="shared" si="2"/>
        <v>#REF!</v>
      </c>
      <c r="G16" s="118"/>
      <c r="H16" s="118"/>
      <c r="I16" s="118"/>
      <c r="J16" s="118"/>
    </row>
    <row r="17" spans="1:10" x14ac:dyDescent="0.25">
      <c r="A17" s="156" t="s">
        <v>126</v>
      </c>
      <c r="B17" s="153"/>
      <c r="C17" s="157"/>
      <c r="D17" s="158"/>
      <c r="E17" s="124">
        <f t="shared" si="3"/>
        <v>0</v>
      </c>
      <c r="F17" s="118" t="e">
        <f t="shared" si="2"/>
        <v>#REF!</v>
      </c>
      <c r="G17" s="118"/>
      <c r="H17" s="118"/>
      <c r="I17" s="118"/>
      <c r="J17" s="118"/>
    </row>
    <row r="18" spans="1:10" x14ac:dyDescent="0.25">
      <c r="A18" s="156" t="s">
        <v>127</v>
      </c>
      <c r="B18" s="153"/>
      <c r="C18" s="157"/>
      <c r="D18" s="158"/>
      <c r="E18" s="124">
        <f t="shared" si="3"/>
        <v>0</v>
      </c>
      <c r="F18" s="118" t="e">
        <f t="shared" si="2"/>
        <v>#REF!</v>
      </c>
      <c r="G18" s="118"/>
      <c r="H18" s="118"/>
      <c r="I18" s="118"/>
      <c r="J18" s="118"/>
    </row>
    <row r="19" spans="1:10" x14ac:dyDescent="0.25">
      <c r="A19" s="156" t="s">
        <v>128</v>
      </c>
      <c r="B19" s="153"/>
      <c r="C19" s="157"/>
      <c r="D19" s="158"/>
      <c r="E19" s="124">
        <f t="shared" si="3"/>
        <v>0</v>
      </c>
      <c r="F19" s="118" t="e">
        <f t="shared" si="2"/>
        <v>#REF!</v>
      </c>
      <c r="G19" s="118"/>
      <c r="H19" s="118"/>
      <c r="I19" s="118"/>
      <c r="J19" s="118"/>
    </row>
    <row r="20" spans="1:10" ht="15.75" thickBot="1" x14ac:dyDescent="0.3">
      <c r="A20" s="156" t="s">
        <v>129</v>
      </c>
      <c r="B20" s="153"/>
      <c r="C20" s="157"/>
      <c r="D20" s="158"/>
      <c r="E20" s="124">
        <f t="shared" si="3"/>
        <v>0</v>
      </c>
      <c r="F20" s="118" t="e">
        <f t="shared" si="2"/>
        <v>#REF!</v>
      </c>
      <c r="G20" s="118"/>
      <c r="H20" s="118"/>
      <c r="I20" s="118"/>
      <c r="J20" s="118"/>
    </row>
    <row r="21" spans="1:10" x14ac:dyDescent="0.25">
      <c r="A21" s="159" t="str">
        <f>Costs!B6</f>
        <v>Assets</v>
      </c>
      <c r="B21" s="160" t="e">
        <f>Costs!#REF!</f>
        <v>#REF!</v>
      </c>
      <c r="C21" s="161" t="e">
        <f>B21/365</f>
        <v>#REF!</v>
      </c>
      <c r="D21" s="162"/>
      <c r="E21" s="123">
        <f>D21*1.3</f>
        <v>0</v>
      </c>
      <c r="F21" s="117" t="e">
        <f>E21*C$21</f>
        <v>#REF!</v>
      </c>
      <c r="G21" s="118"/>
      <c r="H21" s="118"/>
      <c r="I21" s="2"/>
      <c r="J21" s="6"/>
    </row>
    <row r="22" spans="1:10" x14ac:dyDescent="0.25">
      <c r="A22" s="163" t="s">
        <v>113</v>
      </c>
      <c r="B22" s="160"/>
      <c r="C22" s="164"/>
      <c r="D22" s="165"/>
      <c r="E22" s="124">
        <f>D22*1.3</f>
        <v>0</v>
      </c>
      <c r="F22" s="118" t="e">
        <f t="shared" ref="F22:F29" si="4">E22*C$21</f>
        <v>#REF!</v>
      </c>
      <c r="G22" s="118"/>
      <c r="H22" s="118"/>
      <c r="I22" s="118"/>
      <c r="J22" s="118"/>
    </row>
    <row r="23" spans="1:10" x14ac:dyDescent="0.25">
      <c r="A23" s="163" t="s">
        <v>120</v>
      </c>
      <c r="B23" s="160"/>
      <c r="C23" s="164"/>
      <c r="D23" s="165"/>
      <c r="E23" s="124">
        <f t="shared" ref="E23:E29" si="5">D23*1.3</f>
        <v>0</v>
      </c>
      <c r="F23" s="118" t="e">
        <f t="shared" si="4"/>
        <v>#REF!</v>
      </c>
      <c r="G23" s="118"/>
      <c r="H23" s="118"/>
      <c r="I23" s="118"/>
      <c r="J23" s="118"/>
    </row>
    <row r="24" spans="1:10" x14ac:dyDescent="0.25">
      <c r="A24" s="163" t="s">
        <v>125</v>
      </c>
      <c r="B24" s="160"/>
      <c r="C24" s="164"/>
      <c r="D24" s="165"/>
      <c r="E24" s="124">
        <f t="shared" si="5"/>
        <v>0</v>
      </c>
      <c r="F24" s="118" t="e">
        <f t="shared" si="4"/>
        <v>#REF!</v>
      </c>
      <c r="G24" s="118"/>
      <c r="H24" s="118"/>
      <c r="I24" s="118"/>
      <c r="J24" s="118"/>
    </row>
    <row r="25" spans="1:10" x14ac:dyDescent="0.25">
      <c r="A25" s="163" t="s">
        <v>63</v>
      </c>
      <c r="B25" s="160"/>
      <c r="C25" s="164"/>
      <c r="D25" s="165"/>
      <c r="E25" s="124">
        <f t="shared" si="5"/>
        <v>0</v>
      </c>
      <c r="F25" s="118" t="e">
        <f t="shared" si="4"/>
        <v>#REF!</v>
      </c>
      <c r="G25" s="118"/>
      <c r="H25" s="118"/>
      <c r="I25" s="118"/>
      <c r="J25" s="118"/>
    </row>
    <row r="26" spans="1:10" x14ac:dyDescent="0.25">
      <c r="A26" s="163" t="s">
        <v>126</v>
      </c>
      <c r="B26" s="160"/>
      <c r="C26" s="164"/>
      <c r="D26" s="165"/>
      <c r="E26" s="124">
        <f t="shared" si="5"/>
        <v>0</v>
      </c>
      <c r="F26" s="118" t="e">
        <f t="shared" si="4"/>
        <v>#REF!</v>
      </c>
      <c r="G26" s="118"/>
      <c r="H26" s="118"/>
      <c r="I26" s="118"/>
      <c r="J26" s="118"/>
    </row>
    <row r="27" spans="1:10" x14ac:dyDescent="0.25">
      <c r="A27" s="163" t="s">
        <v>127</v>
      </c>
      <c r="B27" s="160"/>
      <c r="C27" s="164"/>
      <c r="D27" s="165"/>
      <c r="E27" s="124">
        <f t="shared" si="5"/>
        <v>0</v>
      </c>
      <c r="F27" s="118" t="e">
        <f t="shared" si="4"/>
        <v>#REF!</v>
      </c>
      <c r="G27" s="118"/>
      <c r="H27" s="118"/>
      <c r="I27" s="118"/>
      <c r="J27" s="118"/>
    </row>
    <row r="28" spans="1:10" x14ac:dyDescent="0.25">
      <c r="A28" s="163" t="s">
        <v>128</v>
      </c>
      <c r="B28" s="160"/>
      <c r="C28" s="164"/>
      <c r="D28" s="165"/>
      <c r="E28" s="124">
        <f t="shared" si="5"/>
        <v>0</v>
      </c>
      <c r="F28" s="118" t="e">
        <f t="shared" si="4"/>
        <v>#REF!</v>
      </c>
      <c r="G28" s="118"/>
      <c r="H28" s="118"/>
      <c r="I28" s="118"/>
      <c r="J28" s="118"/>
    </row>
    <row r="29" spans="1:10" ht="15.75" thickBot="1" x14ac:dyDescent="0.3">
      <c r="A29" s="163" t="s">
        <v>129</v>
      </c>
      <c r="B29" s="160"/>
      <c r="C29" s="164"/>
      <c r="D29" s="165"/>
      <c r="E29" s="124">
        <f t="shared" si="5"/>
        <v>0</v>
      </c>
      <c r="F29" s="118" t="e">
        <f t="shared" si="4"/>
        <v>#REF!</v>
      </c>
      <c r="G29" s="118"/>
      <c r="H29" s="118"/>
      <c r="I29" s="118"/>
      <c r="J29" s="118"/>
    </row>
    <row r="30" spans="1:10" x14ac:dyDescent="0.25">
      <c r="A30" s="166" t="str">
        <f>Costs!B7</f>
        <v>Programming</v>
      </c>
      <c r="B30" s="167" t="e">
        <f>Costs!#REF!</f>
        <v>#REF!</v>
      </c>
      <c r="C30" s="168" t="e">
        <f>B30/365</f>
        <v>#REF!</v>
      </c>
      <c r="D30" s="169"/>
      <c r="E30" s="123">
        <f>D30*1.3</f>
        <v>0</v>
      </c>
      <c r="F30" s="117" t="e">
        <f>E30*C$30</f>
        <v>#REF!</v>
      </c>
      <c r="G30" s="118"/>
      <c r="H30" s="118"/>
      <c r="I30" s="2"/>
      <c r="J30" s="6"/>
    </row>
    <row r="31" spans="1:10" x14ac:dyDescent="0.25">
      <c r="A31" s="170" t="s">
        <v>113</v>
      </c>
      <c r="B31" s="167"/>
      <c r="C31" s="171"/>
      <c r="D31" s="172"/>
      <c r="E31" s="124">
        <f>D31*1.3</f>
        <v>0</v>
      </c>
      <c r="F31" s="118" t="e">
        <f t="shared" ref="F31:F37" si="6">E31*C$30</f>
        <v>#REF!</v>
      </c>
      <c r="G31" s="118"/>
      <c r="H31" s="118"/>
      <c r="I31" s="118"/>
      <c r="J31" s="118"/>
    </row>
    <row r="32" spans="1:10" x14ac:dyDescent="0.25">
      <c r="A32" s="170" t="s">
        <v>120</v>
      </c>
      <c r="B32" s="167"/>
      <c r="C32" s="171"/>
      <c r="D32" s="172"/>
      <c r="E32" s="124">
        <f t="shared" ref="E32:E38" si="7">D32*1.3</f>
        <v>0</v>
      </c>
      <c r="F32" s="118" t="e">
        <f t="shared" si="6"/>
        <v>#REF!</v>
      </c>
      <c r="G32" s="118"/>
      <c r="H32" s="118"/>
      <c r="I32" s="118"/>
      <c r="J32" s="118"/>
    </row>
    <row r="33" spans="1:11" x14ac:dyDescent="0.25">
      <c r="A33" s="170" t="s">
        <v>125</v>
      </c>
      <c r="B33" s="167"/>
      <c r="C33" s="171"/>
      <c r="D33" s="172"/>
      <c r="E33" s="124">
        <f t="shared" si="7"/>
        <v>0</v>
      </c>
      <c r="F33" s="118" t="e">
        <f t="shared" si="6"/>
        <v>#REF!</v>
      </c>
      <c r="G33" s="118"/>
      <c r="H33" s="118"/>
      <c r="I33" s="118"/>
      <c r="J33" s="118"/>
    </row>
    <row r="34" spans="1:11" x14ac:dyDescent="0.25">
      <c r="A34" s="170" t="s">
        <v>63</v>
      </c>
      <c r="B34" s="167"/>
      <c r="C34" s="171"/>
      <c r="D34" s="172"/>
      <c r="E34" s="124">
        <f t="shared" si="7"/>
        <v>0</v>
      </c>
      <c r="F34" s="118" t="e">
        <f t="shared" si="6"/>
        <v>#REF!</v>
      </c>
      <c r="G34" s="118"/>
      <c r="H34" s="118"/>
      <c r="I34" s="118"/>
      <c r="J34" s="118"/>
    </row>
    <row r="35" spans="1:11" x14ac:dyDescent="0.25">
      <c r="A35" s="170" t="s">
        <v>126</v>
      </c>
      <c r="B35" s="167"/>
      <c r="C35" s="171"/>
      <c r="D35" s="172"/>
      <c r="E35" s="124">
        <f t="shared" si="7"/>
        <v>0</v>
      </c>
      <c r="F35" s="118" t="e">
        <f t="shared" si="6"/>
        <v>#REF!</v>
      </c>
      <c r="G35" s="118"/>
      <c r="H35" s="118"/>
      <c r="I35" s="118"/>
      <c r="J35" s="118"/>
    </row>
    <row r="36" spans="1:11" x14ac:dyDescent="0.25">
      <c r="A36" s="170" t="s">
        <v>127</v>
      </c>
      <c r="B36" s="167"/>
      <c r="C36" s="171"/>
      <c r="D36" s="172"/>
      <c r="E36" s="124">
        <f t="shared" si="7"/>
        <v>0</v>
      </c>
      <c r="F36" s="118" t="e">
        <f t="shared" si="6"/>
        <v>#REF!</v>
      </c>
      <c r="G36" s="118"/>
      <c r="H36" s="118"/>
      <c r="I36" s="118"/>
      <c r="J36" s="118"/>
    </row>
    <row r="37" spans="1:11" x14ac:dyDescent="0.25">
      <c r="A37" s="170" t="s">
        <v>128</v>
      </c>
      <c r="B37" s="167"/>
      <c r="C37" s="171"/>
      <c r="D37" s="172"/>
      <c r="E37" s="124">
        <f t="shared" si="7"/>
        <v>0</v>
      </c>
      <c r="F37" s="118" t="e">
        <f t="shared" si="6"/>
        <v>#REF!</v>
      </c>
      <c r="G37" s="118"/>
      <c r="H37" s="118"/>
      <c r="I37" s="118"/>
      <c r="J37" s="118"/>
    </row>
    <row r="38" spans="1:11" x14ac:dyDescent="0.25">
      <c r="A38" s="170" t="s">
        <v>129</v>
      </c>
      <c r="B38" s="167"/>
      <c r="C38" s="171"/>
      <c r="D38" s="172"/>
      <c r="E38" s="124">
        <f t="shared" si="7"/>
        <v>0</v>
      </c>
      <c r="F38" s="118">
        <f>E38*C38</f>
        <v>0</v>
      </c>
      <c r="G38" s="118"/>
      <c r="H38" s="118"/>
      <c r="I38" s="118"/>
      <c r="J38" s="118"/>
    </row>
    <row r="39" spans="1:11" x14ac:dyDescent="0.25">
      <c r="A39" s="173" t="str">
        <f>Costs!B8</f>
        <v>Production</v>
      </c>
      <c r="B39" s="174" t="e">
        <f>Costs!#REF!</f>
        <v>#REF!</v>
      </c>
      <c r="C39" s="175" t="e">
        <f>B39/365</f>
        <v>#REF!</v>
      </c>
      <c r="D39" s="176"/>
      <c r="E39" s="124">
        <f>D39*1.3</f>
        <v>0</v>
      </c>
      <c r="F39" s="118" t="e">
        <f>E39*C39</f>
        <v>#REF!</v>
      </c>
    </row>
    <row r="40" spans="1:11" x14ac:dyDescent="0.25">
      <c r="A40" s="173" t="str">
        <f>Costs!B9</f>
        <v>Support</v>
      </c>
      <c r="B40" s="174" t="e">
        <f>Costs!#REF!</f>
        <v>#REF!</v>
      </c>
      <c r="C40" s="175" t="e">
        <f>B40/365</f>
        <v>#REF!</v>
      </c>
      <c r="D40" s="176"/>
      <c r="E40" s="124">
        <f>D40*1.3</f>
        <v>0</v>
      </c>
      <c r="F40" s="118" t="e">
        <f>E40*C40</f>
        <v>#REF!</v>
      </c>
      <c r="G40" s="118"/>
      <c r="H40" s="118"/>
      <c r="I40" s="2"/>
      <c r="J40" s="6"/>
    </row>
    <row r="41" spans="1:11" x14ac:dyDescent="0.25">
      <c r="A41" s="173">
        <f>Costs!B10</f>
        <v>0</v>
      </c>
      <c r="B41" s="174" t="e">
        <f>Costs!#REF!</f>
        <v>#REF!</v>
      </c>
      <c r="C41" s="175" t="e">
        <f>B41/365</f>
        <v>#REF!</v>
      </c>
      <c r="D41" s="176"/>
      <c r="E41" s="124">
        <f>D41*1.3</f>
        <v>0</v>
      </c>
      <c r="F41" s="118" t="e">
        <f>E41*C41</f>
        <v>#REF!</v>
      </c>
      <c r="G41" s="118"/>
      <c r="H41" s="118"/>
      <c r="I41" s="2"/>
      <c r="J41" s="6"/>
    </row>
    <row r="42" spans="1:11" ht="15.75" thickBot="1" x14ac:dyDescent="0.3">
      <c r="A42" s="99" t="str">
        <f>Costs!B34</f>
        <v>Production Rebate</v>
      </c>
      <c r="B42" s="114" t="e">
        <f>Costs!#REF!</f>
        <v>#REF!</v>
      </c>
      <c r="C42" s="119"/>
      <c r="D42" s="119"/>
      <c r="E42" s="119"/>
      <c r="F42" s="119"/>
    </row>
    <row r="43" spans="1:11" ht="15.75" thickBot="1" x14ac:dyDescent="0.3">
      <c r="A43" s="45" t="str">
        <f>Costs!B11</f>
        <v>TOTALS</v>
      </c>
      <c r="B43" s="16"/>
      <c r="C43" s="94"/>
      <c r="D43" s="45"/>
      <c r="E43" s="45"/>
      <c r="F43" s="94" t="e">
        <f>SUM(F3:F41)</f>
        <v>#REF!</v>
      </c>
    </row>
    <row r="44" spans="1:11" x14ac:dyDescent="0.25">
      <c r="B44" s="14"/>
      <c r="I44" s="3"/>
      <c r="J44" s="1"/>
    </row>
    <row r="45" spans="1:11" x14ac:dyDescent="0.25">
      <c r="A45" s="32" t="str">
        <f>Costs!B17</f>
        <v>Contents insurance</v>
      </c>
      <c r="B45" s="15" t="e">
        <f>Costs!#REF!</f>
        <v>#REF!</v>
      </c>
      <c r="C45" s="177" t="e">
        <f t="shared" ref="C45:C50" si="8">B45/365</f>
        <v>#REF!</v>
      </c>
      <c r="D45" s="124" t="e">
        <f>SUM(E3:E41)/(COUNTA(D3:D41))</f>
        <v>#DIV/0!</v>
      </c>
      <c r="E45" s="124" t="e">
        <f t="shared" ref="E45:E50" si="9">D45*1.3</f>
        <v>#DIV/0!</v>
      </c>
      <c r="F45" s="177" t="e">
        <f t="shared" ref="F45:F50" si="10">E45*C45</f>
        <v>#DIV/0!</v>
      </c>
      <c r="G45" s="7"/>
      <c r="H45" s="7"/>
      <c r="I45" s="2"/>
      <c r="J45" s="6"/>
    </row>
    <row r="46" spans="1:11" x14ac:dyDescent="0.25">
      <c r="A46" s="32" t="str">
        <f>Costs!B18</f>
        <v>General Office Expenses</v>
      </c>
      <c r="B46" s="15">
        <v>1200</v>
      </c>
      <c r="C46" s="177">
        <f t="shared" si="8"/>
        <v>3.2876712328767121</v>
      </c>
      <c r="D46" s="124"/>
      <c r="E46" s="124">
        <f t="shared" si="9"/>
        <v>0</v>
      </c>
      <c r="F46" s="177">
        <f t="shared" si="10"/>
        <v>0</v>
      </c>
      <c r="G46" s="7"/>
      <c r="H46" s="7"/>
      <c r="I46" s="7"/>
      <c r="J46" s="7"/>
      <c r="K46" s="7"/>
    </row>
    <row r="47" spans="1:11" x14ac:dyDescent="0.25">
      <c r="A47" t="str">
        <f>Costs!B19</f>
        <v>TOTALS</v>
      </c>
      <c r="B47" s="15">
        <v>250</v>
      </c>
      <c r="C47" s="177">
        <f t="shared" si="8"/>
        <v>0.68493150684931503</v>
      </c>
      <c r="D47" s="124"/>
      <c r="E47" s="124">
        <f t="shared" si="9"/>
        <v>0</v>
      </c>
      <c r="F47" s="177">
        <f t="shared" si="10"/>
        <v>0</v>
      </c>
      <c r="G47" s="7"/>
      <c r="H47" s="7"/>
      <c r="I47" s="7"/>
      <c r="J47" s="7"/>
      <c r="K47" s="7"/>
    </row>
    <row r="48" spans="1:11" x14ac:dyDescent="0.25">
      <c r="A48" t="e">
        <f>Costs!#REF!</f>
        <v>#REF!</v>
      </c>
      <c r="B48" s="15" t="e">
        <f>Costs!#REF!</f>
        <v>#REF!</v>
      </c>
      <c r="C48" s="177" t="e">
        <f t="shared" si="8"/>
        <v>#REF!</v>
      </c>
      <c r="D48" s="124"/>
      <c r="E48" s="124">
        <f t="shared" si="9"/>
        <v>0</v>
      </c>
      <c r="F48" s="177" t="e">
        <f t="shared" si="10"/>
        <v>#REF!</v>
      </c>
      <c r="G48" s="7"/>
      <c r="H48" s="7"/>
      <c r="I48" s="7"/>
      <c r="J48" s="7"/>
      <c r="K48" s="7"/>
    </row>
    <row r="49" spans="1:11" x14ac:dyDescent="0.25">
      <c r="A49" t="e">
        <f>Costs!#REF!</f>
        <v>#REF!</v>
      </c>
      <c r="B49" s="15" t="e">
        <f>Costs!#REF!</f>
        <v>#REF!</v>
      </c>
      <c r="C49" s="177" t="e">
        <f t="shared" si="8"/>
        <v>#REF!</v>
      </c>
      <c r="D49" s="124"/>
      <c r="E49" s="124">
        <f t="shared" si="9"/>
        <v>0</v>
      </c>
      <c r="F49" s="177" t="e">
        <f t="shared" si="10"/>
        <v>#REF!</v>
      </c>
      <c r="G49" s="7"/>
      <c r="H49" s="7"/>
      <c r="I49" s="7"/>
      <c r="J49" s="7"/>
      <c r="K49" s="7"/>
    </row>
    <row r="50" spans="1:11" ht="15.75" thickBot="1" x14ac:dyDescent="0.3">
      <c r="A50" s="32" t="e">
        <f>Costs!#REF!</f>
        <v>#REF!</v>
      </c>
      <c r="B50" s="15" t="e">
        <f>Costs!#REF!</f>
        <v>#REF!</v>
      </c>
      <c r="C50" s="177" t="e">
        <f t="shared" si="8"/>
        <v>#REF!</v>
      </c>
      <c r="D50" s="124"/>
      <c r="E50" s="124">
        <f t="shared" si="9"/>
        <v>0</v>
      </c>
      <c r="F50" s="177" t="e">
        <f t="shared" si="10"/>
        <v>#REF!</v>
      </c>
      <c r="G50" s="7"/>
      <c r="H50" s="7"/>
      <c r="I50" s="7"/>
      <c r="J50" s="7"/>
      <c r="K50" s="7"/>
    </row>
    <row r="51" spans="1:11" ht="15.75" thickBot="1" x14ac:dyDescent="0.3">
      <c r="A51" s="45" t="e">
        <f>Costs!#REF!</f>
        <v>#REF!</v>
      </c>
      <c r="B51" s="16"/>
      <c r="C51" s="94" t="e">
        <f>SUM(C44:C50)</f>
        <v>#REF!</v>
      </c>
      <c r="D51" s="94"/>
      <c r="E51" s="94"/>
      <c r="F51" s="178" t="e">
        <f>SUM(F45:F50)</f>
        <v>#DIV/0!</v>
      </c>
      <c r="G51" s="7"/>
      <c r="H51" s="7"/>
      <c r="I51" s="7"/>
      <c r="J51" s="7"/>
      <c r="K51" s="7"/>
    </row>
    <row r="52" spans="1:11" ht="15.75" thickBot="1" x14ac:dyDescent="0.3">
      <c r="B52" s="15"/>
      <c r="C52" s="121"/>
      <c r="D52" s="7"/>
      <c r="E52" s="7"/>
      <c r="F52" s="7"/>
      <c r="G52" s="7"/>
      <c r="H52" s="7"/>
      <c r="I52" s="7"/>
      <c r="J52" s="7"/>
      <c r="K52" s="7"/>
    </row>
    <row r="53" spans="1:11" x14ac:dyDescent="0.25">
      <c r="A53" s="28" t="e">
        <f>Costs!#REF!</f>
        <v>#REF!</v>
      </c>
      <c r="B53" s="31" t="e">
        <f>Costs!#REF!</f>
        <v>#REF!</v>
      </c>
      <c r="C53" s="118" t="e">
        <f>B53/365</f>
        <v>#REF!</v>
      </c>
      <c r="D53" s="124"/>
      <c r="E53" s="124">
        <f>D53*1.3</f>
        <v>0</v>
      </c>
      <c r="F53" s="118" t="e">
        <f t="shared" ref="F53:F64" si="11">E53*C53</f>
        <v>#REF!</v>
      </c>
      <c r="G53" s="7"/>
      <c r="H53" s="7"/>
      <c r="I53" s="7"/>
      <c r="J53" s="7"/>
      <c r="K53" s="7"/>
    </row>
    <row r="54" spans="1:11" x14ac:dyDescent="0.25">
      <c r="A54" t="e">
        <f>Costs!#REF!</f>
        <v>#REF!</v>
      </c>
      <c r="B54" s="15" t="e">
        <f>Costs!#REF!</f>
        <v>#REF!</v>
      </c>
      <c r="C54" s="118" t="e">
        <f t="shared" ref="C54:C64" si="12">B54/365</f>
        <v>#REF!</v>
      </c>
      <c r="D54" s="124"/>
      <c r="E54" s="124">
        <f t="shared" ref="E54:E64" si="13">D54*1.3</f>
        <v>0</v>
      </c>
      <c r="F54" s="118" t="e">
        <f t="shared" si="11"/>
        <v>#REF!</v>
      </c>
      <c r="G54" s="7"/>
      <c r="H54" s="7"/>
      <c r="I54" s="7"/>
      <c r="J54" s="7"/>
      <c r="K54" s="7"/>
    </row>
    <row r="55" spans="1:11" x14ac:dyDescent="0.25">
      <c r="A55" t="str">
        <f>Costs!B21</f>
        <v>PL insurance</v>
      </c>
      <c r="B55" s="15" t="e">
        <f>Costs!#REF!</f>
        <v>#REF!</v>
      </c>
      <c r="C55" s="118" t="e">
        <f t="shared" si="12"/>
        <v>#REF!</v>
      </c>
      <c r="D55" s="124"/>
      <c r="E55" s="124">
        <f t="shared" si="13"/>
        <v>0</v>
      </c>
      <c r="F55" s="118" t="e">
        <f t="shared" si="11"/>
        <v>#REF!</v>
      </c>
      <c r="G55" s="7"/>
      <c r="H55" s="7"/>
      <c r="I55" s="2"/>
      <c r="J55" s="7"/>
    </row>
    <row r="56" spans="1:11" x14ac:dyDescent="0.25">
      <c r="A56" s="32" t="str">
        <f>Costs!B22</f>
        <v>Legal Fees</v>
      </c>
      <c r="B56" s="15" t="e">
        <f>Costs!#REF!</f>
        <v>#REF!</v>
      </c>
      <c r="C56" s="118" t="e">
        <f t="shared" si="12"/>
        <v>#REF!</v>
      </c>
      <c r="D56" s="124"/>
      <c r="E56" s="124">
        <f t="shared" si="13"/>
        <v>0</v>
      </c>
      <c r="F56" s="118" t="e">
        <f t="shared" si="11"/>
        <v>#REF!</v>
      </c>
      <c r="G56" s="7"/>
      <c r="H56" s="7"/>
      <c r="I56" s="2"/>
      <c r="J56" s="7"/>
    </row>
    <row r="57" spans="1:11" x14ac:dyDescent="0.25">
      <c r="A57" s="32" t="str">
        <f>Costs!B23</f>
        <v>Accounting</v>
      </c>
      <c r="B57" s="15" t="e">
        <f>Costs!#REF!</f>
        <v>#REF!</v>
      </c>
      <c r="C57" s="118" t="e">
        <f t="shared" si="12"/>
        <v>#REF!</v>
      </c>
      <c r="D57" s="124"/>
      <c r="E57" s="124">
        <f t="shared" si="13"/>
        <v>0</v>
      </c>
      <c r="F57" s="118" t="e">
        <f t="shared" si="11"/>
        <v>#REF!</v>
      </c>
      <c r="G57" s="7"/>
      <c r="H57" s="7"/>
      <c r="I57" s="2"/>
      <c r="J57" s="7"/>
    </row>
    <row r="58" spans="1:11" x14ac:dyDescent="0.25">
      <c r="A58" s="32" t="str">
        <f>Costs!B24</f>
        <v>Advertising &amp; Marketing</v>
      </c>
      <c r="B58" s="15" t="e">
        <f>Costs!#REF!</f>
        <v>#REF!</v>
      </c>
      <c r="C58" s="118" t="e">
        <f t="shared" si="12"/>
        <v>#REF!</v>
      </c>
      <c r="D58" s="124"/>
      <c r="E58" s="124">
        <f t="shared" si="13"/>
        <v>0</v>
      </c>
      <c r="F58" s="118" t="e">
        <f t="shared" si="11"/>
        <v>#REF!</v>
      </c>
      <c r="G58" s="7"/>
      <c r="H58" s="7"/>
      <c r="I58" s="2"/>
      <c r="J58" s="7"/>
    </row>
    <row r="59" spans="1:11" x14ac:dyDescent="0.25">
      <c r="A59" s="32" t="str">
        <f>Costs!B25</f>
        <v>Bank Fees  (incl stripe)</v>
      </c>
      <c r="B59" s="15" t="e">
        <f>Costs!#REF!</f>
        <v>#REF!</v>
      </c>
      <c r="C59" s="118" t="e">
        <f t="shared" si="12"/>
        <v>#REF!</v>
      </c>
      <c r="D59" s="124"/>
      <c r="E59" s="124">
        <f>D59*1.3</f>
        <v>0</v>
      </c>
      <c r="F59" s="118" t="e">
        <f t="shared" si="11"/>
        <v>#REF!</v>
      </c>
      <c r="G59" s="7"/>
      <c r="H59" s="7"/>
      <c r="I59" s="2"/>
      <c r="J59" s="7"/>
    </row>
    <row r="60" spans="1:11" x14ac:dyDescent="0.25">
      <c r="A60" s="32" t="str">
        <f>Costs!B26</f>
        <v xml:space="preserve">Subscriptions - general </v>
      </c>
      <c r="B60" s="15" t="e">
        <f>Costs!#REF!</f>
        <v>#REF!</v>
      </c>
      <c r="C60" s="118" t="e">
        <f t="shared" si="12"/>
        <v>#REF!</v>
      </c>
      <c r="D60" s="124"/>
      <c r="E60" s="124">
        <f t="shared" si="13"/>
        <v>0</v>
      </c>
      <c r="F60" s="118" t="e">
        <f t="shared" si="11"/>
        <v>#REF!</v>
      </c>
      <c r="G60" s="7"/>
      <c r="H60" s="7"/>
      <c r="I60" s="2"/>
      <c r="J60" s="7"/>
    </row>
    <row r="61" spans="1:11" x14ac:dyDescent="0.25">
      <c r="A61" s="32" t="str">
        <f>Costs!B27</f>
        <v>Printing</v>
      </c>
      <c r="B61" s="15" t="e">
        <f>Costs!#REF!</f>
        <v>#REF!</v>
      </c>
      <c r="C61" s="118" t="e">
        <f t="shared" si="12"/>
        <v>#REF!</v>
      </c>
      <c r="D61" s="124"/>
      <c r="E61" s="124">
        <f t="shared" si="13"/>
        <v>0</v>
      </c>
      <c r="F61" s="118" t="e">
        <f t="shared" si="11"/>
        <v>#REF!</v>
      </c>
      <c r="G61" s="7"/>
      <c r="H61" s="7"/>
      <c r="I61" s="7"/>
      <c r="J61" s="7"/>
    </row>
    <row r="62" spans="1:11" x14ac:dyDescent="0.25">
      <c r="A62" s="32" t="e">
        <f>Costs!#REF!</f>
        <v>#REF!</v>
      </c>
      <c r="B62" s="15" t="e">
        <f>Costs!#REF!</f>
        <v>#REF!</v>
      </c>
      <c r="C62" s="118" t="e">
        <f t="shared" si="12"/>
        <v>#REF!</v>
      </c>
      <c r="D62" s="124"/>
      <c r="E62" s="124">
        <f t="shared" si="13"/>
        <v>0</v>
      </c>
      <c r="F62" s="118" t="e">
        <f t="shared" si="11"/>
        <v>#REF!</v>
      </c>
      <c r="G62" s="7"/>
      <c r="H62" s="7"/>
      <c r="I62" s="7"/>
      <c r="J62" s="7"/>
    </row>
    <row r="63" spans="1:11" x14ac:dyDescent="0.25">
      <c r="A63" s="32" t="e">
        <f>Costs!#REF!</f>
        <v>#REF!</v>
      </c>
      <c r="B63" s="15" t="e">
        <f>Costs!#REF!</f>
        <v>#REF!</v>
      </c>
      <c r="C63" s="118" t="e">
        <f t="shared" si="12"/>
        <v>#REF!</v>
      </c>
      <c r="D63" s="124"/>
      <c r="E63" s="124">
        <f t="shared" si="13"/>
        <v>0</v>
      </c>
      <c r="F63" s="118" t="e">
        <f t="shared" si="11"/>
        <v>#REF!</v>
      </c>
      <c r="G63" s="7"/>
      <c r="H63" s="7"/>
      <c r="I63" s="7"/>
      <c r="J63" s="7"/>
    </row>
    <row r="64" spans="1:11" ht="15.75" thickBot="1" x14ac:dyDescent="0.3">
      <c r="A64" s="32" t="e">
        <f>Costs!#REF!</f>
        <v>#REF!</v>
      </c>
      <c r="B64" s="15" t="e">
        <f>Costs!#REF!</f>
        <v>#REF!</v>
      </c>
      <c r="C64" s="118" t="e">
        <f t="shared" si="12"/>
        <v>#REF!</v>
      </c>
      <c r="D64" s="124"/>
      <c r="E64" s="124">
        <f t="shared" si="13"/>
        <v>0</v>
      </c>
      <c r="F64" s="118" t="e">
        <f t="shared" si="11"/>
        <v>#REF!</v>
      </c>
      <c r="G64" s="7"/>
      <c r="H64" s="7"/>
      <c r="I64" s="7"/>
      <c r="J64" s="7"/>
    </row>
    <row r="65" spans="1:10" ht="15.75" thickBot="1" x14ac:dyDescent="0.3">
      <c r="A65" s="45" t="str">
        <f>Costs!B29</f>
        <v>TOTALS</v>
      </c>
      <c r="B65" s="16"/>
      <c r="C65" s="94" t="e">
        <f>SUM(C53:C64)</f>
        <v>#REF!</v>
      </c>
      <c r="D65" s="94"/>
      <c r="E65" s="94"/>
      <c r="F65" s="94" t="e">
        <f>SUM(F53:F64)</f>
        <v>#REF!</v>
      </c>
      <c r="G65" s="7"/>
      <c r="H65" s="7"/>
      <c r="I65" s="7"/>
      <c r="J65" s="7"/>
    </row>
    <row r="66" spans="1:10" ht="15.75" thickBot="1" x14ac:dyDescent="0.3">
      <c r="A66" s="46"/>
      <c r="B66" s="13"/>
      <c r="C66" s="46"/>
      <c r="D66" s="7"/>
      <c r="E66" s="7"/>
      <c r="F66" s="7"/>
      <c r="G66" s="7"/>
      <c r="H66" s="7"/>
      <c r="I66" s="7"/>
      <c r="J66" s="7"/>
    </row>
    <row r="67" spans="1:10" ht="15.75" thickBot="1" x14ac:dyDescent="0.3">
      <c r="A67" s="45" t="str">
        <f>Costs!B33</f>
        <v>CASH TOTAL</v>
      </c>
      <c r="B67" s="122"/>
      <c r="C67" s="94"/>
      <c r="D67" s="94"/>
      <c r="E67" s="94"/>
      <c r="F67" s="94" t="e">
        <f>F65+F51</f>
        <v>#REF!</v>
      </c>
      <c r="G67" s="7"/>
      <c r="H67" s="7"/>
      <c r="I67" s="7"/>
      <c r="J67" s="7"/>
    </row>
    <row r="68" spans="1:10" x14ac:dyDescent="0.25">
      <c r="D68" s="7"/>
      <c r="E68" s="7"/>
      <c r="F68" s="7"/>
      <c r="G68" s="7"/>
      <c r="H68" s="7"/>
      <c r="I68" s="7"/>
      <c r="J68" s="7"/>
    </row>
    <row r="69" spans="1:10" x14ac:dyDescent="0.25">
      <c r="E69" s="7"/>
      <c r="F69" s="7"/>
      <c r="G69" s="7"/>
      <c r="H69" s="7"/>
      <c r="I69" s="7"/>
      <c r="J69" s="7"/>
    </row>
  </sheetData>
  <pageMargins left="0.7" right="0.7" top="0.75" bottom="0.75" header="0.3" footer="0.3"/>
  <pageSetup orientation="portrait" horizontalDpi="360" verticalDpi="36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Full costs</vt:lpstr>
      <vt:lpstr>SUMMARY</vt:lpstr>
      <vt:lpstr>Cash Burn Monthly</vt:lpstr>
      <vt:lpstr>Expansion timeline</vt:lpstr>
      <vt:lpstr>Costs</vt:lpstr>
      <vt:lpstr>Education Income</vt:lpstr>
      <vt:lpstr>Production Income</vt:lpstr>
      <vt:lpstr>FTE cost calcs</vt:lpstr>
      <vt:lpstr>Commercial rates</vt:lpstr>
      <vt:lpstr>Quote Page</vt:lpstr>
      <vt:lpstr>'Quote Page'!Print_Area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JDSM</dc:creator>
  <cp:lastModifiedBy>James Marshall</cp:lastModifiedBy>
  <dcterms:created xsi:type="dcterms:W3CDTF">2022-05-27T00:11:40Z</dcterms:created>
  <dcterms:modified xsi:type="dcterms:W3CDTF">2026-05-06T00:51:18Z</dcterms:modified>
</cp:coreProperties>
</file>